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chd.org\profiles$\ADM\galaviz\Desktop\"/>
    </mc:Choice>
  </mc:AlternateContent>
  <xr:revisionPtr revIDLastSave="0" documentId="13_ncr:1_{19E4BC4F-28F3-46D3-9E14-F68C758B7594}" xr6:coauthVersionLast="47" xr6:coauthVersionMax="47" xr10:uidLastSave="{00000000-0000-0000-0000-000000000000}"/>
  <bookViews>
    <workbookView xWindow="-120" yWindow="-120" windowWidth="29040" windowHeight="15840" tabRatio="820" firstSheet="2" activeTab="2" xr2:uid="{00000000-000D-0000-FFFF-FFFF00000000}"/>
  </bookViews>
  <sheets>
    <sheet name="Budget Narrative - Summary" sheetId="19" state="hidden" r:id="rId1"/>
    <sheet name="Summary W_Contract Changes (2)" sheetId="23" state="hidden" r:id="rId2"/>
    <sheet name="Budget Narrative" sheetId="25" r:id="rId3"/>
    <sheet name="Budget Summary" sheetId="1" r:id="rId4"/>
    <sheet name="Add-Remove Lines Examples" sheetId="4" r:id="rId5"/>
    <sheet name="DATA LIST" sheetId="8" state="hidden" r:id="rId6"/>
    <sheet name="Internal Use Only" sheetId="5" state="hidden" r:id="rId7"/>
  </sheets>
  <definedNames>
    <definedName name="_xlnm._FilterDatabase" localSheetId="2" hidden="1">'Budget Narrative'!$C$112:$D$138</definedName>
    <definedName name="_xlnm._FilterDatabase" localSheetId="0" hidden="1">'Budget Narrative - Summary'!$B$404:$J$404</definedName>
    <definedName name="_xlnm._FilterDatabase" localSheetId="1" hidden="1">'Summary W_Contract Changes (2)'!$B$5:$J$814</definedName>
    <definedName name="Contractual_Total">'Budget Narrative'!$G$51</definedName>
    <definedName name="Equipment_Total">'Budget Narrative'!$G$47</definedName>
    <definedName name="Operating_Total">'Budget Narrative'!$G$41</definedName>
    <definedName name="Other_Total">'Budget Narrative'!$G$67</definedName>
    <definedName name="Personnel">'Budget Narrative'!$G$3</definedName>
    <definedName name="Personnel_Total">'Budget Narrative'!$G$3</definedName>
    <definedName name="_xlnm.Print_Area" localSheetId="2">'Budget Narrative'!$A$1:$G$122</definedName>
    <definedName name="_xlnm.Print_Area" localSheetId="0">'Budget Narrative - Summary'!$B$1:$H$665</definedName>
    <definedName name="_xlnm.Print_Area" localSheetId="1">'Summary W_Contract Changes (2)'!$B$1:$J$757</definedName>
    <definedName name="Total_Budget">'Budget Narrative'!$G$84</definedName>
    <definedName name="Total_Direct_Charges">'Budget Narrative'!$G$81</definedName>
    <definedName name="Training_Total">'Budget Narrative'!$G$63</definedName>
    <definedName name="Travel_Total">'Budget Narrative'!$G$18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4" i="25" l="1"/>
  <c r="G83" i="25"/>
  <c r="G81" i="25"/>
  <c r="G67" i="25"/>
  <c r="B17" i="1" s="1"/>
  <c r="G51" i="25"/>
  <c r="G52" i="25"/>
  <c r="G41" i="25"/>
  <c r="B13" i="1" s="1"/>
  <c r="F38" i="25"/>
  <c r="F37" i="25"/>
  <c r="F36" i="25"/>
  <c r="F35" i="25"/>
  <c r="F34" i="25"/>
  <c r="F33" i="25"/>
  <c r="F32" i="25"/>
  <c r="F27" i="25"/>
  <c r="F26" i="25"/>
  <c r="F25" i="25"/>
  <c r="F24" i="25"/>
  <c r="F23" i="25"/>
  <c r="G19" i="25" s="1"/>
  <c r="F22" i="25"/>
  <c r="F21" i="25"/>
  <c r="G3" i="25"/>
  <c r="G16" i="25"/>
  <c r="G15" i="25"/>
  <c r="G14" i="25"/>
  <c r="G11" i="25"/>
  <c r="G8" i="25"/>
  <c r="G5" i="25"/>
  <c r="F11" i="25"/>
  <c r="F8" i="25"/>
  <c r="G63" i="25"/>
  <c r="B16" i="1" s="1"/>
  <c r="G47" i="25"/>
  <c r="B14" i="1" s="1"/>
  <c r="G30" i="25" l="1"/>
  <c r="G18" i="25" s="1"/>
  <c r="B15" i="1"/>
  <c r="D60" i="25"/>
  <c r="F5" i="25"/>
  <c r="B12" i="1" l="1"/>
  <c r="B11" i="1"/>
  <c r="B24" i="1" l="1"/>
  <c r="B18" i="1"/>
  <c r="B8" i="1"/>
  <c r="J751" i="23" l="1"/>
  <c r="J747" i="23"/>
  <c r="J742" i="23"/>
  <c r="J724" i="23"/>
  <c r="N713" i="23"/>
  <c r="N714" i="23" s="1"/>
  <c r="N710" i="23"/>
  <c r="N711" i="23" s="1"/>
  <c r="H706" i="23"/>
  <c r="N699" i="23"/>
  <c r="N698" i="23"/>
  <c r="J696" i="23"/>
  <c r="N695" i="23"/>
  <c r="H690" i="23"/>
  <c r="H682" i="23"/>
  <c r="J673" i="23"/>
  <c r="E669" i="23"/>
  <c r="E670" i="23" s="1"/>
  <c r="E668" i="23"/>
  <c r="E666" i="23"/>
  <c r="E664" i="23"/>
  <c r="E665" i="23" s="1"/>
  <c r="E663" i="23"/>
  <c r="E661" i="23"/>
  <c r="E658" i="23"/>
  <c r="E659" i="23" s="1"/>
  <c r="E657" i="23"/>
  <c r="E655" i="23"/>
  <c r="E653" i="23"/>
  <c r="E654" i="23" s="1"/>
  <c r="E652" i="23"/>
  <c r="E650" i="23"/>
  <c r="E649" i="23"/>
  <c r="E634" i="23"/>
  <c r="E631" i="23"/>
  <c r="E630" i="23"/>
  <c r="E626" i="23"/>
  <c r="E629" i="23" s="1"/>
  <c r="E625" i="23"/>
  <c r="E624" i="23"/>
  <c r="E621" i="23"/>
  <c r="E619" i="23"/>
  <c r="E616" i="23"/>
  <c r="E613" i="23"/>
  <c r="E611" i="23"/>
  <c r="E602" i="23"/>
  <c r="G591" i="23"/>
  <c r="E588" i="23"/>
  <c r="G577" i="23"/>
  <c r="E574" i="23"/>
  <c r="G558" i="23"/>
  <c r="E555" i="23"/>
  <c r="G539" i="23"/>
  <c r="E536" i="23"/>
  <c r="G525" i="23"/>
  <c r="E522" i="23"/>
  <c r="G511" i="23"/>
  <c r="E508" i="23"/>
  <c r="G497" i="23"/>
  <c r="E494" i="23"/>
  <c r="G486" i="23"/>
  <c r="E483" i="23"/>
  <c r="G475" i="23"/>
  <c r="E472" i="23"/>
  <c r="G461" i="23"/>
  <c r="E457" i="23"/>
  <c r="E456" i="23"/>
  <c r="E455" i="23"/>
  <c r="E454" i="23"/>
  <c r="E453" i="23"/>
  <c r="E444" i="23"/>
  <c r="G428" i="23" s="1"/>
  <c r="E425" i="23"/>
  <c r="E422" i="23"/>
  <c r="N702" i="23" s="1"/>
  <c r="G416" i="23"/>
  <c r="E413" i="23"/>
  <c r="G402" i="23"/>
  <c r="E399" i="23"/>
  <c r="G391" i="23"/>
  <c r="J385" i="23"/>
  <c r="J380" i="23"/>
  <c r="G377" i="23"/>
  <c r="H375" i="23" s="1"/>
  <c r="D377" i="23"/>
  <c r="G372" i="23"/>
  <c r="H370" i="23" s="1"/>
  <c r="C372" i="23"/>
  <c r="H366" i="23"/>
  <c r="H365" i="23"/>
  <c r="H364" i="23"/>
  <c r="H363" i="23"/>
  <c r="H362" i="23"/>
  <c r="H361" i="23"/>
  <c r="H360" i="23"/>
  <c r="H355" i="23"/>
  <c r="H354" i="23"/>
  <c r="H353" i="23"/>
  <c r="H352" i="23"/>
  <c r="H351" i="23"/>
  <c r="H350" i="23"/>
  <c r="H347" i="23" s="1"/>
  <c r="H349" i="23"/>
  <c r="D349" i="23"/>
  <c r="H344" i="23"/>
  <c r="H343" i="23"/>
  <c r="K342" i="23"/>
  <c r="H342" i="23"/>
  <c r="D342" i="23"/>
  <c r="K341" i="23"/>
  <c r="D341" i="23"/>
  <c r="H341" i="23" s="1"/>
  <c r="H336" i="23" s="1"/>
  <c r="K340" i="23"/>
  <c r="D340" i="23"/>
  <c r="H340" i="23" s="1"/>
  <c r="K339" i="23"/>
  <c r="K343" i="23" s="1"/>
  <c r="H339" i="23"/>
  <c r="K338" i="23"/>
  <c r="H338" i="23"/>
  <c r="D338" i="23"/>
  <c r="H333" i="23"/>
  <c r="H332" i="23"/>
  <c r="H331" i="23"/>
  <c r="H330" i="23"/>
  <c r="H329" i="23"/>
  <c r="H328" i="23"/>
  <c r="H327" i="23"/>
  <c r="H325" i="23"/>
  <c r="J321" i="23"/>
  <c r="G316" i="23"/>
  <c r="H316" i="23" s="1"/>
  <c r="G315" i="23"/>
  <c r="H315" i="23" s="1"/>
  <c r="G314" i="23"/>
  <c r="H314" i="23" s="1"/>
  <c r="H313" i="23"/>
  <c r="G313" i="23"/>
  <c r="G312" i="23"/>
  <c r="H312" i="23" s="1"/>
  <c r="G310" i="23"/>
  <c r="H310" i="23" s="1"/>
  <c r="G309" i="23"/>
  <c r="H309" i="23" s="1"/>
  <c r="H308" i="23"/>
  <c r="G308" i="23"/>
  <c r="G307" i="23"/>
  <c r="H307" i="23" s="1"/>
  <c r="G306" i="23"/>
  <c r="H306" i="23" s="1"/>
  <c r="G304" i="23"/>
  <c r="H304" i="23" s="1"/>
  <c r="H303" i="23"/>
  <c r="G303" i="23"/>
  <c r="G302" i="23"/>
  <c r="H302" i="23" s="1"/>
  <c r="G301" i="23"/>
  <c r="H301" i="23" s="1"/>
  <c r="G300" i="23"/>
  <c r="H300" i="23" s="1"/>
  <c r="H298" i="23"/>
  <c r="G298" i="23"/>
  <c r="G297" i="23"/>
  <c r="H297" i="23" s="1"/>
  <c r="G296" i="23"/>
  <c r="H296" i="23" s="1"/>
  <c r="G295" i="23"/>
  <c r="H295" i="23" s="1"/>
  <c r="H294" i="23"/>
  <c r="G294" i="23"/>
  <c r="G292" i="23"/>
  <c r="H292" i="23" s="1"/>
  <c r="G291" i="23"/>
  <c r="H291" i="23" s="1"/>
  <c r="G290" i="23"/>
  <c r="H290" i="23" s="1"/>
  <c r="H289" i="23"/>
  <c r="G289" i="23"/>
  <c r="G288" i="23"/>
  <c r="H288" i="23" s="1"/>
  <c r="G286" i="23"/>
  <c r="H286" i="23" s="1"/>
  <c r="G285" i="23"/>
  <c r="H285" i="23" s="1"/>
  <c r="H284" i="23"/>
  <c r="G284" i="23"/>
  <c r="G283" i="23"/>
  <c r="H283" i="23" s="1"/>
  <c r="G282" i="23"/>
  <c r="H282" i="23" s="1"/>
  <c r="G280" i="23"/>
  <c r="H280" i="23" s="1"/>
  <c r="H279" i="23"/>
  <c r="G279" i="23"/>
  <c r="G278" i="23"/>
  <c r="H278" i="23" s="1"/>
  <c r="G277" i="23"/>
  <c r="H277" i="23" s="1"/>
  <c r="G276" i="23"/>
  <c r="H276" i="23" s="1"/>
  <c r="H274" i="23"/>
  <c r="G274" i="23"/>
  <c r="G273" i="23"/>
  <c r="H273" i="23" s="1"/>
  <c r="G272" i="23"/>
  <c r="H272" i="23" s="1"/>
  <c r="G271" i="23"/>
  <c r="H271" i="23" s="1"/>
  <c r="H270" i="23"/>
  <c r="G270" i="23"/>
  <c r="G268" i="23"/>
  <c r="H268" i="23" s="1"/>
  <c r="G267" i="23"/>
  <c r="H267" i="23" s="1"/>
  <c r="G266" i="23"/>
  <c r="H266" i="23" s="1"/>
  <c r="H265" i="23"/>
  <c r="G265" i="23"/>
  <c r="G264" i="23"/>
  <c r="H264" i="23" s="1"/>
  <c r="G262" i="23"/>
  <c r="H262" i="23" s="1"/>
  <c r="G261" i="23"/>
  <c r="H261" i="23" s="1"/>
  <c r="H260" i="23"/>
  <c r="G260" i="23"/>
  <c r="G259" i="23"/>
  <c r="H259" i="23" s="1"/>
  <c r="G258" i="23"/>
  <c r="H258" i="23" s="1"/>
  <c r="G256" i="23"/>
  <c r="H256" i="23" s="1"/>
  <c r="H255" i="23"/>
  <c r="G255" i="23"/>
  <c r="G254" i="23"/>
  <c r="H254" i="23" s="1"/>
  <c r="G253" i="23"/>
  <c r="H253" i="23" s="1"/>
  <c r="G252" i="23"/>
  <c r="H252" i="23" s="1"/>
  <c r="H250" i="23"/>
  <c r="G250" i="23"/>
  <c r="G249" i="23"/>
  <c r="H249" i="23" s="1"/>
  <c r="G248" i="23"/>
  <c r="H248" i="23" s="1"/>
  <c r="G247" i="23"/>
  <c r="H247" i="23" s="1"/>
  <c r="H246" i="23"/>
  <c r="G246" i="23"/>
  <c r="G244" i="23"/>
  <c r="H244" i="23" s="1"/>
  <c r="G243" i="23"/>
  <c r="H243" i="23" s="1"/>
  <c r="G242" i="23"/>
  <c r="H242" i="23" s="1"/>
  <c r="H241" i="23"/>
  <c r="G241" i="23"/>
  <c r="G240" i="23"/>
  <c r="H240" i="23" s="1"/>
  <c r="G238" i="23"/>
  <c r="H238" i="23" s="1"/>
  <c r="G237" i="23"/>
  <c r="H237" i="23" s="1"/>
  <c r="H236" i="23"/>
  <c r="G236" i="23"/>
  <c r="G235" i="23"/>
  <c r="H235" i="23" s="1"/>
  <c r="G234" i="23"/>
  <c r="H234" i="23" s="1"/>
  <c r="G232" i="23"/>
  <c r="H232" i="23" s="1"/>
  <c r="H231" i="23"/>
  <c r="G231" i="23"/>
  <c r="G230" i="23"/>
  <c r="H230" i="23" s="1"/>
  <c r="G229" i="23"/>
  <c r="H229" i="23" s="1"/>
  <c r="G228" i="23"/>
  <c r="H228" i="23" s="1"/>
  <c r="H226" i="23"/>
  <c r="G226" i="23"/>
  <c r="G225" i="23"/>
  <c r="H225" i="23" s="1"/>
  <c r="G224" i="23"/>
  <c r="H224" i="23" s="1"/>
  <c r="G223" i="23"/>
  <c r="H223" i="23" s="1"/>
  <c r="H222" i="23"/>
  <c r="G222" i="23"/>
  <c r="G220" i="23"/>
  <c r="H220" i="23" s="1"/>
  <c r="G219" i="23"/>
  <c r="H219" i="23" s="1"/>
  <c r="G218" i="23"/>
  <c r="H218" i="23" s="1"/>
  <c r="H217" i="23"/>
  <c r="G217" i="23"/>
  <c r="G216" i="23"/>
  <c r="H216" i="23" s="1"/>
  <c r="G214" i="23"/>
  <c r="H214" i="23" s="1"/>
  <c r="G213" i="23"/>
  <c r="H213" i="23" s="1"/>
  <c r="H212" i="23"/>
  <c r="G212" i="23"/>
  <c r="G211" i="23"/>
  <c r="H211" i="23" s="1"/>
  <c r="G210" i="23"/>
  <c r="H210" i="23" s="1"/>
  <c r="G208" i="23"/>
  <c r="H208" i="23" s="1"/>
  <c r="H207" i="23"/>
  <c r="G207" i="23"/>
  <c r="G206" i="23"/>
  <c r="H206" i="23" s="1"/>
  <c r="G205" i="23"/>
  <c r="H205" i="23" s="1"/>
  <c r="G204" i="23"/>
  <c r="H204" i="23" s="1"/>
  <c r="H202" i="23"/>
  <c r="G202" i="23"/>
  <c r="G201" i="23"/>
  <c r="H201" i="23" s="1"/>
  <c r="G200" i="23"/>
  <c r="H200" i="23" s="1"/>
  <c r="G199" i="23"/>
  <c r="H199" i="23" s="1"/>
  <c r="H198" i="23"/>
  <c r="G198" i="23"/>
  <c r="G196" i="23"/>
  <c r="H196" i="23" s="1"/>
  <c r="G195" i="23"/>
  <c r="H195" i="23" s="1"/>
  <c r="G194" i="23"/>
  <c r="H194" i="23" s="1"/>
  <c r="H193" i="23"/>
  <c r="G193" i="23"/>
  <c r="G192" i="23"/>
  <c r="H192" i="23" s="1"/>
  <c r="G190" i="23"/>
  <c r="H190" i="23" s="1"/>
  <c r="G189" i="23"/>
  <c r="H189" i="23" s="1"/>
  <c r="H188" i="23"/>
  <c r="G188" i="23"/>
  <c r="G187" i="23"/>
  <c r="H187" i="23" s="1"/>
  <c r="G186" i="23"/>
  <c r="H186" i="23" s="1"/>
  <c r="G184" i="23"/>
  <c r="H184" i="23" s="1"/>
  <c r="H183" i="23"/>
  <c r="G183" i="23"/>
  <c r="G182" i="23"/>
  <c r="H182" i="23" s="1"/>
  <c r="G181" i="23"/>
  <c r="H181" i="23" s="1"/>
  <c r="G180" i="23"/>
  <c r="H180" i="23" s="1"/>
  <c r="H178" i="23"/>
  <c r="G178" i="23"/>
  <c r="G177" i="23"/>
  <c r="H177" i="23" s="1"/>
  <c r="G176" i="23"/>
  <c r="H176" i="23" s="1"/>
  <c r="G175" i="23"/>
  <c r="H175" i="23" s="1"/>
  <c r="H174" i="23"/>
  <c r="G174" i="23"/>
  <c r="G172" i="23"/>
  <c r="H172" i="23" s="1"/>
  <c r="G171" i="23"/>
  <c r="H171" i="23" s="1"/>
  <c r="G170" i="23"/>
  <c r="H170" i="23" s="1"/>
  <c r="H169" i="23"/>
  <c r="G169" i="23"/>
  <c r="H168" i="23"/>
  <c r="G168" i="23"/>
  <c r="H166" i="23"/>
  <c r="G166" i="23"/>
  <c r="H165" i="23"/>
  <c r="G165" i="23"/>
  <c r="H164" i="23"/>
  <c r="G164" i="23"/>
  <c r="H163" i="23"/>
  <c r="G163" i="23"/>
  <c r="H162" i="23"/>
  <c r="G162" i="23"/>
  <c r="H160" i="23"/>
  <c r="G160" i="23"/>
  <c r="H159" i="23"/>
  <c r="G159" i="23"/>
  <c r="H158" i="23"/>
  <c r="G158" i="23"/>
  <c r="H157" i="23"/>
  <c r="G157" i="23"/>
  <c r="H156" i="23"/>
  <c r="G156" i="23"/>
  <c r="H154" i="23"/>
  <c r="G154" i="23"/>
  <c r="H153" i="23"/>
  <c r="G153" i="23"/>
  <c r="H152" i="23"/>
  <c r="G152" i="23"/>
  <c r="H151" i="23"/>
  <c r="G151" i="23"/>
  <c r="H150" i="23"/>
  <c r="G150" i="23"/>
  <c r="H148" i="23"/>
  <c r="G148" i="23"/>
  <c r="H147" i="23"/>
  <c r="G147" i="23"/>
  <c r="H146" i="23"/>
  <c r="G146" i="23"/>
  <c r="H145" i="23"/>
  <c r="G145" i="23"/>
  <c r="H144" i="23"/>
  <c r="G144" i="23"/>
  <c r="H142" i="23"/>
  <c r="G142" i="23"/>
  <c r="H141" i="23"/>
  <c r="G141" i="23"/>
  <c r="H140" i="23"/>
  <c r="G140" i="23"/>
  <c r="H139" i="23"/>
  <c r="G139" i="23"/>
  <c r="H138" i="23"/>
  <c r="G138" i="23"/>
  <c r="H136" i="23"/>
  <c r="G136" i="23"/>
  <c r="H135" i="23"/>
  <c r="G135" i="23"/>
  <c r="H134" i="23"/>
  <c r="G134" i="23"/>
  <c r="H133" i="23"/>
  <c r="G133" i="23"/>
  <c r="H132" i="23"/>
  <c r="G132" i="23"/>
  <c r="H130" i="23"/>
  <c r="G130" i="23"/>
  <c r="H129" i="23"/>
  <c r="G129" i="23"/>
  <c r="H128" i="23"/>
  <c r="G128" i="23"/>
  <c r="H127" i="23"/>
  <c r="G127" i="23"/>
  <c r="H126" i="23"/>
  <c r="G126" i="23"/>
  <c r="H124" i="23"/>
  <c r="G124" i="23"/>
  <c r="H123" i="23"/>
  <c r="G123" i="23"/>
  <c r="H122" i="23"/>
  <c r="G122" i="23"/>
  <c r="H121" i="23"/>
  <c r="G121" i="23"/>
  <c r="H120" i="23"/>
  <c r="G120" i="23"/>
  <c r="H118" i="23"/>
  <c r="G118" i="23"/>
  <c r="H117" i="23"/>
  <c r="G117" i="23"/>
  <c r="H116" i="23"/>
  <c r="G116" i="23"/>
  <c r="H115" i="23"/>
  <c r="G115" i="23"/>
  <c r="H114" i="23"/>
  <c r="G114" i="23"/>
  <c r="H112" i="23"/>
  <c r="G112" i="23"/>
  <c r="H111" i="23"/>
  <c r="G111" i="23"/>
  <c r="H110" i="23"/>
  <c r="G110" i="23"/>
  <c r="H109" i="23"/>
  <c r="G109" i="23"/>
  <c r="H108" i="23"/>
  <c r="G108" i="23"/>
  <c r="H106" i="23"/>
  <c r="G106" i="23"/>
  <c r="H105" i="23"/>
  <c r="G105" i="23"/>
  <c r="H104" i="23"/>
  <c r="G104" i="23"/>
  <c r="H103" i="23"/>
  <c r="G103" i="23"/>
  <c r="H102" i="23"/>
  <c r="G102" i="23"/>
  <c r="H100" i="23"/>
  <c r="G100" i="23"/>
  <c r="H99" i="23"/>
  <c r="G99" i="23"/>
  <c r="H98" i="23"/>
  <c r="G98" i="23"/>
  <c r="H97" i="23"/>
  <c r="G97" i="23"/>
  <c r="H96" i="23"/>
  <c r="G96" i="23"/>
  <c r="H94" i="23"/>
  <c r="G94" i="23"/>
  <c r="H93" i="23"/>
  <c r="G93" i="23"/>
  <c r="H92" i="23"/>
  <c r="G92" i="23"/>
  <c r="H91" i="23"/>
  <c r="G91" i="23"/>
  <c r="H90" i="23"/>
  <c r="G90" i="23"/>
  <c r="H88" i="23"/>
  <c r="G88" i="23"/>
  <c r="H87" i="23"/>
  <c r="G87" i="23"/>
  <c r="H86" i="23"/>
  <c r="G86" i="23"/>
  <c r="H85" i="23"/>
  <c r="G85" i="23"/>
  <c r="H84" i="23"/>
  <c r="G84" i="23"/>
  <c r="H82" i="23"/>
  <c r="G82" i="23"/>
  <c r="H81" i="23"/>
  <c r="G81" i="23"/>
  <c r="H80" i="23"/>
  <c r="G80" i="23"/>
  <c r="H79" i="23"/>
  <c r="G79" i="23"/>
  <c r="H78" i="23"/>
  <c r="G78" i="23"/>
  <c r="H76" i="23"/>
  <c r="G76" i="23"/>
  <c r="H75" i="23"/>
  <c r="G75" i="23"/>
  <c r="H74" i="23"/>
  <c r="G74" i="23"/>
  <c r="H73" i="23"/>
  <c r="G73" i="23"/>
  <c r="H72" i="23"/>
  <c r="G72" i="23"/>
  <c r="H70" i="23"/>
  <c r="G70" i="23"/>
  <c r="H69" i="23"/>
  <c r="G69" i="23"/>
  <c r="H68" i="23"/>
  <c r="G68" i="23"/>
  <c r="H67" i="23"/>
  <c r="G67" i="23"/>
  <c r="H66" i="23"/>
  <c r="G66" i="23"/>
  <c r="H64" i="23"/>
  <c r="G64" i="23"/>
  <c r="H63" i="23"/>
  <c r="G63" i="23"/>
  <c r="H62" i="23"/>
  <c r="G62" i="23"/>
  <c r="H61" i="23"/>
  <c r="G61" i="23"/>
  <c r="H60" i="23"/>
  <c r="G60" i="23"/>
  <c r="H58" i="23"/>
  <c r="G58" i="23"/>
  <c r="H57" i="23"/>
  <c r="G57" i="23"/>
  <c r="H56" i="23"/>
  <c r="G56" i="23"/>
  <c r="H55" i="23"/>
  <c r="G55" i="23"/>
  <c r="H54" i="23"/>
  <c r="G54" i="23"/>
  <c r="H52" i="23"/>
  <c r="G52" i="23"/>
  <c r="H51" i="23"/>
  <c r="G51" i="23"/>
  <c r="H50" i="23"/>
  <c r="G50" i="23"/>
  <c r="H49" i="23"/>
  <c r="G49" i="23"/>
  <c r="H48" i="23"/>
  <c r="G48" i="23"/>
  <c r="H46" i="23"/>
  <c r="G46" i="23"/>
  <c r="H45" i="23"/>
  <c r="G45" i="23"/>
  <c r="H44" i="23"/>
  <c r="G44" i="23"/>
  <c r="H43" i="23"/>
  <c r="G43" i="23"/>
  <c r="H42" i="23"/>
  <c r="G42" i="23"/>
  <c r="H40" i="23"/>
  <c r="G40" i="23"/>
  <c r="H39" i="23"/>
  <c r="G39" i="23"/>
  <c r="H38" i="23"/>
  <c r="G38" i="23"/>
  <c r="H37" i="23"/>
  <c r="G37" i="23"/>
  <c r="H36" i="23"/>
  <c r="G36" i="23"/>
  <c r="H34" i="23"/>
  <c r="G34" i="23"/>
  <c r="H33" i="23"/>
  <c r="G33" i="23"/>
  <c r="H32" i="23"/>
  <c r="G32" i="23"/>
  <c r="H31" i="23"/>
  <c r="G31" i="23"/>
  <c r="H30" i="23"/>
  <c r="G30" i="23"/>
  <c r="H28" i="23"/>
  <c r="G28" i="23"/>
  <c r="H27" i="23"/>
  <c r="G27" i="23"/>
  <c r="H26" i="23"/>
  <c r="G26" i="23"/>
  <c r="H25" i="23"/>
  <c r="G25" i="23"/>
  <c r="H24" i="23"/>
  <c r="G24" i="23"/>
  <c r="H22" i="23"/>
  <c r="G22" i="23"/>
  <c r="H21" i="23"/>
  <c r="G21" i="23"/>
  <c r="H20" i="23"/>
  <c r="G20" i="23"/>
  <c r="H19" i="23"/>
  <c r="G19" i="23"/>
  <c r="H18" i="23"/>
  <c r="N690" i="23" s="1"/>
  <c r="G18" i="23"/>
  <c r="H16" i="23"/>
  <c r="G16" i="23"/>
  <c r="H15" i="23"/>
  <c r="G15" i="23"/>
  <c r="H14" i="23"/>
  <c r="G14" i="23"/>
  <c r="H13" i="23"/>
  <c r="G13" i="23"/>
  <c r="H12" i="23"/>
  <c r="G12" i="23"/>
  <c r="H10" i="23"/>
  <c r="G10" i="23"/>
  <c r="H9" i="23"/>
  <c r="G9" i="23"/>
  <c r="H8" i="23"/>
  <c r="G8" i="23"/>
  <c r="H7" i="23"/>
  <c r="G7" i="23"/>
  <c r="J320" i="23" s="1"/>
  <c r="H6" i="23"/>
  <c r="J3" i="23" s="1"/>
  <c r="G6" i="23"/>
  <c r="G639" i="23" l="1"/>
  <c r="N718" i="23"/>
  <c r="J737" i="23" s="1"/>
  <c r="J727" i="23"/>
  <c r="J736" i="23"/>
  <c r="J744" i="23"/>
  <c r="N689" i="23"/>
  <c r="J319" i="23"/>
  <c r="N701" i="23"/>
  <c r="E458" i="23"/>
  <c r="G447" i="23" s="1"/>
  <c r="N707" i="23"/>
  <c r="J743" i="23" s="1"/>
  <c r="J745" i="23" s="1"/>
  <c r="E635" i="23"/>
  <c r="E671" i="23"/>
  <c r="N691" i="23"/>
  <c r="N719" i="23" s="1"/>
  <c r="H358" i="23"/>
  <c r="N694" i="23" s="1"/>
  <c r="E615" i="23"/>
  <c r="G605" i="23" s="1"/>
  <c r="E620" i="23"/>
  <c r="N696" i="23" l="1"/>
  <c r="N717" i="23"/>
  <c r="J726" i="23"/>
  <c r="N692" i="23"/>
  <c r="E636" i="23"/>
  <c r="N708" i="23"/>
  <c r="J323" i="23"/>
  <c r="J715" i="23" s="1"/>
  <c r="J717" i="23" s="1"/>
  <c r="J719" i="23" s="1"/>
  <c r="J738" i="23"/>
  <c r="J752" i="23" s="1"/>
  <c r="J753" i="23" s="1"/>
  <c r="J389" i="23"/>
  <c r="J733" i="23" l="1"/>
  <c r="J732" i="23"/>
  <c r="J734" i="23" s="1"/>
  <c r="J748" i="23" s="1"/>
  <c r="J749" i="23" s="1"/>
  <c r="J729" i="23"/>
  <c r="J756" i="23" s="1"/>
  <c r="J757" i="23" s="1"/>
  <c r="J728" i="23"/>
  <c r="N720" i="23"/>
  <c r="N722" i="23" s="1"/>
  <c r="N723" i="23" s="1"/>
  <c r="E554" i="19" l="1"/>
  <c r="E553" i="19"/>
  <c r="E443" i="19"/>
  <c r="E414" i="19"/>
  <c r="L469" i="19" l="1"/>
  <c r="E504" i="19" l="1"/>
  <c r="E528" i="19"/>
  <c r="G517" i="19" s="1"/>
  <c r="E514" i="19"/>
  <c r="E490" i="19"/>
  <c r="E479" i="19"/>
  <c r="E478" i="19"/>
  <c r="E477" i="19"/>
  <c r="E476" i="19"/>
  <c r="E475" i="19"/>
  <c r="E464" i="19"/>
  <c r="E462" i="19"/>
  <c r="E460" i="19"/>
  <c r="E458" i="19"/>
  <c r="E456" i="19"/>
  <c r="N646" i="19" l="1"/>
  <c r="E466" i="19"/>
  <c r="G449" i="19" s="1"/>
  <c r="E480" i="19"/>
  <c r="G469" i="19" s="1"/>
  <c r="E542" i="19"/>
  <c r="G531" i="19" s="1"/>
  <c r="E429" i="19"/>
  <c r="G417" i="19" s="1"/>
  <c r="G404" i="19" l="1"/>
  <c r="H651" i="19"/>
  <c r="H617" i="19" l="1"/>
  <c r="E617" i="19"/>
  <c r="H615" i="19"/>
  <c r="E615" i="19"/>
  <c r="H611" i="19"/>
  <c r="E611" i="19"/>
  <c r="H609" i="19"/>
  <c r="E609" i="19"/>
  <c r="H605" i="19"/>
  <c r="E605" i="19"/>
  <c r="H603" i="19"/>
  <c r="E603" i="19"/>
  <c r="H599" i="19"/>
  <c r="E599" i="19"/>
  <c r="H597" i="19"/>
  <c r="E597" i="19"/>
  <c r="H594" i="19"/>
  <c r="H577" i="19"/>
  <c r="H575" i="19"/>
  <c r="E575" i="19"/>
  <c r="E578" i="19" s="1"/>
  <c r="H571" i="19"/>
  <c r="H569" i="19"/>
  <c r="E569" i="19"/>
  <c r="E572" i="19" s="1"/>
  <c r="H565" i="19"/>
  <c r="H563" i="19"/>
  <c r="E563" i="19"/>
  <c r="E566" i="19" s="1"/>
  <c r="H559" i="19"/>
  <c r="H557" i="19"/>
  <c r="E557" i="19"/>
  <c r="E560" i="19" s="1"/>
  <c r="H551" i="19"/>
  <c r="H554" i="19" s="1"/>
  <c r="E551" i="19"/>
  <c r="H600" i="19" l="1"/>
  <c r="H606" i="19"/>
  <c r="H612" i="19"/>
  <c r="H618" i="19"/>
  <c r="H578" i="19"/>
  <c r="H566" i="19"/>
  <c r="E600" i="19"/>
  <c r="E601" i="19" s="1"/>
  <c r="E606" i="19"/>
  <c r="E607" i="19" s="1"/>
  <c r="H572" i="19"/>
  <c r="E612" i="19"/>
  <c r="E613" i="19" s="1"/>
  <c r="E618" i="19"/>
  <c r="E619" i="19" s="1"/>
  <c r="E595" i="19"/>
  <c r="E561" i="19"/>
  <c r="E573" i="19"/>
  <c r="E579" i="19"/>
  <c r="H560" i="19"/>
  <c r="E567" i="19"/>
  <c r="E555" i="19"/>
  <c r="F545" i="19" l="1"/>
  <c r="E621" i="19"/>
  <c r="E581" i="19"/>
  <c r="J697" i="19" l="1"/>
  <c r="J693" i="19"/>
  <c r="N651" i="19"/>
  <c r="N652" i="19" s="1"/>
  <c r="N643" i="19"/>
  <c r="N644" i="19" s="1"/>
  <c r="N654" i="19"/>
  <c r="D388" i="19"/>
  <c r="N655" i="19" l="1"/>
  <c r="F507" i="19"/>
  <c r="F493" i="19"/>
  <c r="F483" i="19"/>
  <c r="J647" i="19"/>
  <c r="C376" i="19"/>
  <c r="E446" i="19" l="1"/>
  <c r="J402" i="19" s="1"/>
  <c r="L402" i="19" s="1"/>
  <c r="G432" i="19" l="1"/>
  <c r="G376" i="19"/>
  <c r="G377" i="19"/>
  <c r="G375" i="19"/>
  <c r="G374" i="19"/>
  <c r="G373" i="19"/>
  <c r="G372" i="19"/>
  <c r="G371" i="19"/>
  <c r="G389" i="19"/>
  <c r="G388" i="19"/>
  <c r="G387" i="19"/>
  <c r="G386" i="19"/>
  <c r="G385" i="19"/>
  <c r="G384" i="19"/>
  <c r="G383" i="19"/>
  <c r="H365" i="19"/>
  <c r="H364" i="19"/>
  <c r="H363" i="19"/>
  <c r="H362" i="19"/>
  <c r="H361" i="19"/>
  <c r="H360" i="19"/>
  <c r="H359" i="19"/>
  <c r="H354" i="19"/>
  <c r="H353" i="19"/>
  <c r="H352" i="19"/>
  <c r="H351" i="19"/>
  <c r="H350" i="19"/>
  <c r="H349" i="19"/>
  <c r="D348" i="19"/>
  <c r="H348" i="19" s="1"/>
  <c r="H369" i="19" l="1"/>
  <c r="N640" i="19" s="1"/>
  <c r="H381" i="19"/>
  <c r="H357" i="19"/>
  <c r="H346" i="19"/>
  <c r="H343" i="19" l="1"/>
  <c r="H342" i="19"/>
  <c r="K341" i="19"/>
  <c r="D341" i="19"/>
  <c r="H341" i="19" s="1"/>
  <c r="K340" i="19"/>
  <c r="D340" i="19"/>
  <c r="H340" i="19" s="1"/>
  <c r="K339" i="19"/>
  <c r="D339" i="19"/>
  <c r="H339" i="19" s="1"/>
  <c r="K338" i="19"/>
  <c r="H338" i="19"/>
  <c r="K337" i="19"/>
  <c r="D337" i="19"/>
  <c r="H337" i="19" s="1"/>
  <c r="J393" i="19"/>
  <c r="H332" i="19"/>
  <c r="H331" i="19"/>
  <c r="H330" i="19"/>
  <c r="H329" i="19"/>
  <c r="H328" i="19"/>
  <c r="H327" i="19"/>
  <c r="H326" i="19"/>
  <c r="H640" i="19"/>
  <c r="H631" i="19"/>
  <c r="G224" i="19"/>
  <c r="H224" i="19" s="1"/>
  <c r="G225" i="19"/>
  <c r="H225" i="19" s="1"/>
  <c r="G226" i="19"/>
  <c r="H226" i="19" s="1"/>
  <c r="G227" i="19"/>
  <c r="H227" i="19" s="1"/>
  <c r="J670" i="19"/>
  <c r="G317" i="19"/>
  <c r="H317" i="19" s="1"/>
  <c r="G316" i="19"/>
  <c r="H316" i="19" s="1"/>
  <c r="G315" i="19"/>
  <c r="H315" i="19" s="1"/>
  <c r="G314" i="19"/>
  <c r="H314" i="19" s="1"/>
  <c r="G313" i="19"/>
  <c r="H313" i="19" s="1"/>
  <c r="G311" i="19"/>
  <c r="H311" i="19" s="1"/>
  <c r="G310" i="19"/>
  <c r="H310" i="19" s="1"/>
  <c r="G309" i="19"/>
  <c r="H309" i="19" s="1"/>
  <c r="G308" i="19"/>
  <c r="H308" i="19" s="1"/>
  <c r="G307" i="19"/>
  <c r="H307" i="19" s="1"/>
  <c r="G305" i="19"/>
  <c r="H305" i="19" s="1"/>
  <c r="G304" i="19"/>
  <c r="H304" i="19" s="1"/>
  <c r="G303" i="19"/>
  <c r="H303" i="19" s="1"/>
  <c r="G302" i="19"/>
  <c r="H302" i="19" s="1"/>
  <c r="G301" i="19"/>
  <c r="H301" i="19" s="1"/>
  <c r="G299" i="19"/>
  <c r="H299" i="19" s="1"/>
  <c r="G298" i="19"/>
  <c r="H298" i="19" s="1"/>
  <c r="G297" i="19"/>
  <c r="H297" i="19" s="1"/>
  <c r="G296" i="19"/>
  <c r="H296" i="19" s="1"/>
  <c r="G295" i="19"/>
  <c r="H295" i="19" s="1"/>
  <c r="G293" i="19"/>
  <c r="H293" i="19" s="1"/>
  <c r="G292" i="19"/>
  <c r="H292" i="19" s="1"/>
  <c r="G291" i="19"/>
  <c r="H291" i="19" s="1"/>
  <c r="G290" i="19"/>
  <c r="H290" i="19" s="1"/>
  <c r="G289" i="19"/>
  <c r="H289" i="19" s="1"/>
  <c r="G287" i="19"/>
  <c r="H287" i="19" s="1"/>
  <c r="G286" i="19"/>
  <c r="H286" i="19" s="1"/>
  <c r="G285" i="19"/>
  <c r="H285" i="19" s="1"/>
  <c r="G284" i="19"/>
  <c r="H284" i="19" s="1"/>
  <c r="G283" i="19"/>
  <c r="H283" i="19" s="1"/>
  <c r="G281" i="19"/>
  <c r="H281" i="19" s="1"/>
  <c r="G280" i="19"/>
  <c r="H280" i="19" s="1"/>
  <c r="G279" i="19"/>
  <c r="H279" i="19" s="1"/>
  <c r="G278" i="19"/>
  <c r="H278" i="19" s="1"/>
  <c r="G277" i="19"/>
  <c r="H277" i="19" s="1"/>
  <c r="G275" i="19"/>
  <c r="H275" i="19" s="1"/>
  <c r="G274" i="19"/>
  <c r="H274" i="19" s="1"/>
  <c r="G273" i="19"/>
  <c r="H273" i="19" s="1"/>
  <c r="G272" i="19"/>
  <c r="H272" i="19" s="1"/>
  <c r="G271" i="19"/>
  <c r="H271" i="19" s="1"/>
  <c r="G269" i="19"/>
  <c r="H269" i="19" s="1"/>
  <c r="G268" i="19"/>
  <c r="H268" i="19" s="1"/>
  <c r="G267" i="19"/>
  <c r="H267" i="19" s="1"/>
  <c r="G266" i="19"/>
  <c r="H266" i="19" s="1"/>
  <c r="G265" i="19"/>
  <c r="H265" i="19" s="1"/>
  <c r="G263" i="19"/>
  <c r="H263" i="19" s="1"/>
  <c r="G262" i="19"/>
  <c r="H262" i="19" s="1"/>
  <c r="G261" i="19"/>
  <c r="H261" i="19" s="1"/>
  <c r="G260" i="19"/>
  <c r="H260" i="19" s="1"/>
  <c r="G259" i="19"/>
  <c r="H259" i="19" s="1"/>
  <c r="G257" i="19"/>
  <c r="H257" i="19" s="1"/>
  <c r="G256" i="19"/>
  <c r="H256" i="19" s="1"/>
  <c r="G255" i="19"/>
  <c r="H255" i="19" s="1"/>
  <c r="G254" i="19"/>
  <c r="H254" i="19" s="1"/>
  <c r="G253" i="19"/>
  <c r="H253" i="19" s="1"/>
  <c r="G251" i="19"/>
  <c r="H251" i="19" s="1"/>
  <c r="G250" i="19"/>
  <c r="H250" i="19" s="1"/>
  <c r="G249" i="19"/>
  <c r="H249" i="19" s="1"/>
  <c r="G248" i="19"/>
  <c r="H248" i="19" s="1"/>
  <c r="G247" i="19"/>
  <c r="H247" i="19" s="1"/>
  <c r="G245" i="19"/>
  <c r="H245" i="19" s="1"/>
  <c r="G244" i="19"/>
  <c r="H244" i="19" s="1"/>
  <c r="G243" i="19"/>
  <c r="H243" i="19" s="1"/>
  <c r="G242" i="19"/>
  <c r="H242" i="19" s="1"/>
  <c r="G241" i="19"/>
  <c r="H241" i="19" s="1"/>
  <c r="G239" i="19"/>
  <c r="H239" i="19" s="1"/>
  <c r="G238" i="19"/>
  <c r="H238" i="19" s="1"/>
  <c r="G237" i="19"/>
  <c r="H237" i="19" s="1"/>
  <c r="G236" i="19"/>
  <c r="H236" i="19" s="1"/>
  <c r="G235" i="19"/>
  <c r="H235" i="19" s="1"/>
  <c r="G233" i="19"/>
  <c r="H233" i="19" s="1"/>
  <c r="G232" i="19"/>
  <c r="H232" i="19" s="1"/>
  <c r="G231" i="19"/>
  <c r="H231" i="19" s="1"/>
  <c r="G230" i="19"/>
  <c r="H230" i="19" s="1"/>
  <c r="G229" i="19"/>
  <c r="H229" i="19" s="1"/>
  <c r="G223" i="19"/>
  <c r="H223" i="19" s="1"/>
  <c r="G221" i="19"/>
  <c r="H221" i="19" s="1"/>
  <c r="G220" i="19"/>
  <c r="H220" i="19" s="1"/>
  <c r="G219" i="19"/>
  <c r="H219" i="19" s="1"/>
  <c r="G218" i="19"/>
  <c r="H218" i="19" s="1"/>
  <c r="G217" i="19"/>
  <c r="H217" i="19" s="1"/>
  <c r="G215" i="19"/>
  <c r="H215" i="19" s="1"/>
  <c r="G214" i="19"/>
  <c r="H214" i="19" s="1"/>
  <c r="G213" i="19"/>
  <c r="H213" i="19" s="1"/>
  <c r="G212" i="19"/>
  <c r="H212" i="19" s="1"/>
  <c r="G211" i="19"/>
  <c r="H211" i="19" s="1"/>
  <c r="G209" i="19"/>
  <c r="H209" i="19" s="1"/>
  <c r="G208" i="19"/>
  <c r="H208" i="19" s="1"/>
  <c r="G207" i="19"/>
  <c r="H207" i="19" s="1"/>
  <c r="G206" i="19"/>
  <c r="H206" i="19" s="1"/>
  <c r="G205" i="19"/>
  <c r="H205" i="19" s="1"/>
  <c r="G203" i="19"/>
  <c r="H203" i="19" s="1"/>
  <c r="G202" i="19"/>
  <c r="H202" i="19" s="1"/>
  <c r="G201" i="19"/>
  <c r="H201" i="19" s="1"/>
  <c r="G200" i="19"/>
  <c r="H200" i="19" s="1"/>
  <c r="G199" i="19"/>
  <c r="H199" i="19" s="1"/>
  <c r="G197" i="19"/>
  <c r="H197" i="19" s="1"/>
  <c r="G196" i="19"/>
  <c r="H196" i="19" s="1"/>
  <c r="G195" i="19"/>
  <c r="H195" i="19" s="1"/>
  <c r="G194" i="19"/>
  <c r="H194" i="19" s="1"/>
  <c r="G193" i="19"/>
  <c r="H193" i="19" s="1"/>
  <c r="G191" i="19"/>
  <c r="H191" i="19" s="1"/>
  <c r="G190" i="19"/>
  <c r="H190" i="19" s="1"/>
  <c r="G189" i="19"/>
  <c r="H189" i="19" s="1"/>
  <c r="G188" i="19"/>
  <c r="H188" i="19" s="1"/>
  <c r="G187" i="19"/>
  <c r="H187" i="19" s="1"/>
  <c r="G185" i="19"/>
  <c r="H185" i="19" s="1"/>
  <c r="G184" i="19"/>
  <c r="H184" i="19" s="1"/>
  <c r="G183" i="19"/>
  <c r="H183" i="19" s="1"/>
  <c r="G182" i="19"/>
  <c r="H182" i="19" s="1"/>
  <c r="G181" i="19"/>
  <c r="H181" i="19" s="1"/>
  <c r="G179" i="19"/>
  <c r="H179" i="19" s="1"/>
  <c r="G178" i="19"/>
  <c r="H178" i="19" s="1"/>
  <c r="G177" i="19"/>
  <c r="H177" i="19" s="1"/>
  <c r="G176" i="19"/>
  <c r="H176" i="19" s="1"/>
  <c r="G175" i="19"/>
  <c r="H175" i="19" s="1"/>
  <c r="G173" i="19"/>
  <c r="H173" i="19" s="1"/>
  <c r="G172" i="19"/>
  <c r="H172" i="19" s="1"/>
  <c r="G171" i="19"/>
  <c r="H171" i="19" s="1"/>
  <c r="G170" i="19"/>
  <c r="H170" i="19" s="1"/>
  <c r="G169" i="19"/>
  <c r="H169" i="19" s="1"/>
  <c r="G167" i="19"/>
  <c r="H167" i="19" s="1"/>
  <c r="G166" i="19"/>
  <c r="H166" i="19" s="1"/>
  <c r="G165" i="19"/>
  <c r="H165" i="19" s="1"/>
  <c r="G164" i="19"/>
  <c r="H164" i="19" s="1"/>
  <c r="G163" i="19"/>
  <c r="H163" i="19" s="1"/>
  <c r="G161" i="19"/>
  <c r="H161" i="19" s="1"/>
  <c r="G160" i="19"/>
  <c r="H160" i="19" s="1"/>
  <c r="G159" i="19"/>
  <c r="H159" i="19" s="1"/>
  <c r="G158" i="19"/>
  <c r="H158" i="19" s="1"/>
  <c r="G157" i="19"/>
  <c r="H157" i="19" s="1"/>
  <c r="G155" i="19"/>
  <c r="H155" i="19" s="1"/>
  <c r="G154" i="19"/>
  <c r="H154" i="19" s="1"/>
  <c r="G153" i="19"/>
  <c r="H153" i="19" s="1"/>
  <c r="G152" i="19"/>
  <c r="H152" i="19" s="1"/>
  <c r="G151" i="19"/>
  <c r="H151" i="19" s="1"/>
  <c r="G149" i="19"/>
  <c r="H149" i="19" s="1"/>
  <c r="G148" i="19"/>
  <c r="H148" i="19" s="1"/>
  <c r="G147" i="19"/>
  <c r="H147" i="19" s="1"/>
  <c r="G146" i="19"/>
  <c r="H146" i="19" s="1"/>
  <c r="G145" i="19"/>
  <c r="H145" i="19" s="1"/>
  <c r="G143" i="19"/>
  <c r="H143" i="19" s="1"/>
  <c r="G142" i="19"/>
  <c r="H142" i="19" s="1"/>
  <c r="G141" i="19"/>
  <c r="H141" i="19" s="1"/>
  <c r="G140" i="19"/>
  <c r="H140" i="19" s="1"/>
  <c r="G139" i="19"/>
  <c r="H139" i="19" s="1"/>
  <c r="G137" i="19"/>
  <c r="H137" i="19" s="1"/>
  <c r="G136" i="19"/>
  <c r="H136" i="19" s="1"/>
  <c r="G135" i="19"/>
  <c r="H135" i="19" s="1"/>
  <c r="G134" i="19"/>
  <c r="H134" i="19" s="1"/>
  <c r="G133" i="19"/>
  <c r="H133" i="19" s="1"/>
  <c r="G131" i="19"/>
  <c r="H131" i="19" s="1"/>
  <c r="G130" i="19"/>
  <c r="H130" i="19" s="1"/>
  <c r="G129" i="19"/>
  <c r="H129" i="19" s="1"/>
  <c r="G128" i="19"/>
  <c r="H128" i="19" s="1"/>
  <c r="G127" i="19"/>
  <c r="H127" i="19" s="1"/>
  <c r="G125" i="19"/>
  <c r="H125" i="19" s="1"/>
  <c r="G124" i="19"/>
  <c r="H124" i="19" s="1"/>
  <c r="G123" i="19"/>
  <c r="H123" i="19" s="1"/>
  <c r="G122" i="19"/>
  <c r="H122" i="19" s="1"/>
  <c r="G121" i="19"/>
  <c r="H121" i="19" s="1"/>
  <c r="G119" i="19"/>
  <c r="H119" i="19" s="1"/>
  <c r="G118" i="19"/>
  <c r="H118" i="19" s="1"/>
  <c r="G117" i="19"/>
  <c r="H117" i="19" s="1"/>
  <c r="G116" i="19"/>
  <c r="H116" i="19" s="1"/>
  <c r="G115" i="19"/>
  <c r="H115" i="19" s="1"/>
  <c r="G113" i="19"/>
  <c r="H113" i="19" s="1"/>
  <c r="G112" i="19"/>
  <c r="H112" i="19" s="1"/>
  <c r="G111" i="19"/>
  <c r="H111" i="19" s="1"/>
  <c r="G110" i="19"/>
  <c r="H110" i="19" s="1"/>
  <c r="G109" i="19"/>
  <c r="H109" i="19" s="1"/>
  <c r="G107" i="19"/>
  <c r="H107" i="19" s="1"/>
  <c r="G106" i="19"/>
  <c r="H106" i="19" s="1"/>
  <c r="G105" i="19"/>
  <c r="H105" i="19" s="1"/>
  <c r="G104" i="19"/>
  <c r="H104" i="19" s="1"/>
  <c r="G103" i="19"/>
  <c r="H103" i="19" s="1"/>
  <c r="G101" i="19"/>
  <c r="H101" i="19" s="1"/>
  <c r="G100" i="19"/>
  <c r="H100" i="19" s="1"/>
  <c r="G99" i="19"/>
  <c r="H99" i="19" s="1"/>
  <c r="G98" i="19"/>
  <c r="H98" i="19" s="1"/>
  <c r="G97" i="19"/>
  <c r="H97" i="19" s="1"/>
  <c r="G95" i="19"/>
  <c r="H95" i="19" s="1"/>
  <c r="G94" i="19"/>
  <c r="H94" i="19" s="1"/>
  <c r="G93" i="19"/>
  <c r="H93" i="19" s="1"/>
  <c r="G92" i="19"/>
  <c r="H92" i="19" s="1"/>
  <c r="G91" i="19"/>
  <c r="H91" i="19" s="1"/>
  <c r="G89" i="19"/>
  <c r="H89" i="19" s="1"/>
  <c r="G88" i="19"/>
  <c r="H88" i="19" s="1"/>
  <c r="G87" i="19"/>
  <c r="H87" i="19" s="1"/>
  <c r="G86" i="19"/>
  <c r="H86" i="19" s="1"/>
  <c r="G85" i="19"/>
  <c r="H85" i="19" s="1"/>
  <c r="G83" i="19"/>
  <c r="H83" i="19" s="1"/>
  <c r="G82" i="19"/>
  <c r="H82" i="19" s="1"/>
  <c r="G81" i="19"/>
  <c r="H81" i="19" s="1"/>
  <c r="G80" i="19"/>
  <c r="H80" i="19" s="1"/>
  <c r="G79" i="19"/>
  <c r="H79" i="19" s="1"/>
  <c r="G77" i="19"/>
  <c r="H77" i="19" s="1"/>
  <c r="G76" i="19"/>
  <c r="H76" i="19" s="1"/>
  <c r="G75" i="19"/>
  <c r="H75" i="19" s="1"/>
  <c r="G74" i="19"/>
  <c r="H74" i="19" s="1"/>
  <c r="G73" i="19"/>
  <c r="H73" i="19" s="1"/>
  <c r="G71" i="19"/>
  <c r="H71" i="19" s="1"/>
  <c r="G70" i="19"/>
  <c r="H70" i="19" s="1"/>
  <c r="G69" i="19"/>
  <c r="H69" i="19" s="1"/>
  <c r="G68" i="19"/>
  <c r="H68" i="19" s="1"/>
  <c r="G67" i="19"/>
  <c r="H67" i="19" s="1"/>
  <c r="G65" i="19"/>
  <c r="H65" i="19" s="1"/>
  <c r="G64" i="19"/>
  <c r="H64" i="19" s="1"/>
  <c r="G63" i="19"/>
  <c r="H63" i="19" s="1"/>
  <c r="G62" i="19"/>
  <c r="H62" i="19" s="1"/>
  <c r="G61" i="19"/>
  <c r="H61" i="19" s="1"/>
  <c r="G59" i="19"/>
  <c r="H59" i="19" s="1"/>
  <c r="G58" i="19"/>
  <c r="H58" i="19" s="1"/>
  <c r="G57" i="19"/>
  <c r="H57" i="19" s="1"/>
  <c r="G56" i="19"/>
  <c r="H56" i="19" s="1"/>
  <c r="G55" i="19"/>
  <c r="H55" i="19" s="1"/>
  <c r="G53" i="19"/>
  <c r="H53" i="19" s="1"/>
  <c r="G52" i="19"/>
  <c r="H52" i="19" s="1"/>
  <c r="G51" i="19"/>
  <c r="H51" i="19" s="1"/>
  <c r="G50" i="19"/>
  <c r="H50" i="19" s="1"/>
  <c r="G49" i="19"/>
  <c r="H49" i="19" s="1"/>
  <c r="G47" i="19"/>
  <c r="H47" i="19" s="1"/>
  <c r="G46" i="19"/>
  <c r="H46" i="19" s="1"/>
  <c r="G45" i="19"/>
  <c r="H45" i="19" s="1"/>
  <c r="G44" i="19"/>
  <c r="H44" i="19" s="1"/>
  <c r="G43" i="19"/>
  <c r="H43" i="19" s="1"/>
  <c r="G41" i="19"/>
  <c r="H41" i="19" s="1"/>
  <c r="G40" i="19"/>
  <c r="H40" i="19" s="1"/>
  <c r="G39" i="19"/>
  <c r="H39" i="19" s="1"/>
  <c r="G38" i="19"/>
  <c r="H38" i="19" s="1"/>
  <c r="G37" i="19"/>
  <c r="H37" i="19" s="1"/>
  <c r="G35" i="19"/>
  <c r="H35" i="19" s="1"/>
  <c r="G34" i="19"/>
  <c r="H34" i="19" s="1"/>
  <c r="G33" i="19"/>
  <c r="H33" i="19" s="1"/>
  <c r="G32" i="19"/>
  <c r="H32" i="19" s="1"/>
  <c r="G31" i="19"/>
  <c r="H31" i="19" s="1"/>
  <c r="G29" i="19"/>
  <c r="H29" i="19" s="1"/>
  <c r="G28" i="19"/>
  <c r="H28" i="19" s="1"/>
  <c r="G27" i="19"/>
  <c r="H27" i="19" s="1"/>
  <c r="G26" i="19"/>
  <c r="H26" i="19" s="1"/>
  <c r="G25" i="19"/>
  <c r="H25" i="19" s="1"/>
  <c r="G23" i="19"/>
  <c r="H23" i="19" s="1"/>
  <c r="G22" i="19"/>
  <c r="H22" i="19" s="1"/>
  <c r="G21" i="19"/>
  <c r="H21" i="19" s="1"/>
  <c r="G20" i="19"/>
  <c r="H20" i="19" s="1"/>
  <c r="G19" i="19"/>
  <c r="H19" i="19" s="1"/>
  <c r="G17" i="19"/>
  <c r="H17" i="19" s="1"/>
  <c r="G16" i="19"/>
  <c r="H16" i="19" s="1"/>
  <c r="G15" i="19"/>
  <c r="H15" i="19" s="1"/>
  <c r="G14" i="19"/>
  <c r="H14" i="19" s="1"/>
  <c r="G13" i="19"/>
  <c r="H13" i="19" s="1"/>
  <c r="G11" i="19"/>
  <c r="H11" i="19" s="1"/>
  <c r="G10" i="19"/>
  <c r="H10" i="19" s="1"/>
  <c r="G9" i="19"/>
  <c r="H9" i="19" s="1"/>
  <c r="G8" i="19"/>
  <c r="H8" i="19" s="1"/>
  <c r="G7" i="19"/>
  <c r="H7" i="19" s="1"/>
  <c r="J398" i="19"/>
  <c r="D321" i="19"/>
  <c r="J4" i="19" l="1"/>
  <c r="N635" i="19"/>
  <c r="N634" i="19"/>
  <c r="J688" i="19"/>
  <c r="J690" i="19" s="1"/>
  <c r="N636" i="19"/>
  <c r="N661" i="19" s="1"/>
  <c r="J623" i="19"/>
  <c r="K342" i="19"/>
  <c r="H335" i="19"/>
  <c r="H324" i="19"/>
  <c r="H320" i="19"/>
  <c r="D320" i="19"/>
  <c r="J322" i="19" l="1"/>
  <c r="N660" i="19"/>
  <c r="J683" i="19" s="1"/>
  <c r="N637" i="19"/>
  <c r="N639" i="19"/>
  <c r="N659" i="19" s="1"/>
  <c r="J674" i="19" l="1"/>
  <c r="N662" i="19"/>
  <c r="N641" i="19"/>
  <c r="J672" i="19"/>
  <c r="G735" i="23" l="1"/>
  <c r="G734" i="23"/>
  <c r="C686" i="19"/>
  <c r="C687" i="19"/>
  <c r="J679" i="19"/>
  <c r="J678" i="19"/>
  <c r="J680" i="19" l="1"/>
  <c r="J694" i="19" s="1"/>
  <c r="J695" i="19" s="1"/>
  <c r="G733" i="23" l="1"/>
  <c r="C685" i="19"/>
  <c r="C684" i="19" l="1"/>
  <c r="G732" i="23"/>
  <c r="J14" i="1" l="1"/>
  <c r="J13" i="1"/>
  <c r="G5" i="5"/>
  <c r="G7" i="5" s="1"/>
  <c r="H5" i="5"/>
  <c r="H7" i="5" s="1"/>
  <c r="I5" i="5"/>
  <c r="I7" i="5" s="1"/>
  <c r="J5" i="5"/>
  <c r="J7" i="5" s="1"/>
  <c r="K5" i="5"/>
  <c r="K7" i="5" s="1"/>
  <c r="L3" i="5"/>
  <c r="C5" i="5"/>
  <c r="C7" i="5" s="1"/>
  <c r="D5" i="5"/>
  <c r="E5" i="5"/>
  <c r="E7" i="5" s="1"/>
  <c r="F5" i="5"/>
  <c r="F7" i="5" s="1"/>
  <c r="B5" i="5"/>
  <c r="B7" i="5" s="1"/>
  <c r="B18" i="5"/>
  <c r="B20" i="5" s="1"/>
  <c r="H18" i="5"/>
  <c r="H20" i="5" s="1"/>
  <c r="C18" i="5"/>
  <c r="C20" i="5" s="1"/>
  <c r="D18" i="5"/>
  <c r="D20" i="5" s="1"/>
  <c r="E18" i="5"/>
  <c r="E20" i="5" s="1"/>
  <c r="F18" i="5"/>
  <c r="F20" i="5" s="1"/>
  <c r="G18" i="5"/>
  <c r="G20" i="5" s="1"/>
  <c r="I16" i="5"/>
  <c r="J16" i="1"/>
  <c r="C20" i="1"/>
  <c r="C22" i="1"/>
  <c r="I20" i="1"/>
  <c r="I22" i="1"/>
  <c r="H20" i="1"/>
  <c r="H22" i="1"/>
  <c r="G20" i="1"/>
  <c r="G22" i="1"/>
  <c r="F20" i="1"/>
  <c r="F22" i="1"/>
  <c r="E20" i="1"/>
  <c r="E22" i="1"/>
  <c r="D20" i="1"/>
  <c r="D22" i="1"/>
  <c r="J17" i="1"/>
  <c r="J15" i="1"/>
  <c r="B1" i="1"/>
  <c r="J11" i="1"/>
  <c r="J12" i="1"/>
  <c r="J8" i="1"/>
  <c r="J18" i="1"/>
  <c r="B20" i="1"/>
  <c r="B22" i="1" s="1"/>
  <c r="J20" i="1" l="1"/>
  <c r="J24" i="1" s="1"/>
  <c r="J25" i="1" s="1"/>
  <c r="L5" i="5"/>
  <c r="A10" i="5" s="1"/>
  <c r="I18" i="5"/>
  <c r="D7" i="5"/>
  <c r="J22" i="1" l="1"/>
  <c r="L7" i="5"/>
  <c r="I20" i="5"/>
  <c r="A23" i="5"/>
  <c r="G727" i="23" l="1"/>
  <c r="C679" i="19"/>
  <c r="G726" i="23"/>
  <c r="C683" i="19"/>
  <c r="G731" i="23"/>
  <c r="C682" i="19" l="1"/>
  <c r="G730" i="23"/>
  <c r="C681" i="19"/>
  <c r="G729" i="23"/>
  <c r="G728" i="23"/>
  <c r="G736" i="23"/>
  <c r="G738" i="23" s="1"/>
  <c r="C678" i="19"/>
  <c r="C680" i="19"/>
  <c r="C688" i="19" l="1"/>
  <c r="C690" i="19" s="1"/>
  <c r="N648" i="19"/>
  <c r="J689" i="19" s="1"/>
  <c r="J691" i="19" s="1"/>
  <c r="J661" i="19"/>
  <c r="J663" i="19" s="1"/>
  <c r="J665" i="19" s="1"/>
  <c r="N647" i="19"/>
  <c r="J682" i="19" s="1"/>
  <c r="J684" i="19" s="1"/>
  <c r="J698" i="19" s="1"/>
  <c r="J699" i="19" s="1"/>
  <c r="N649" i="19" l="1"/>
  <c r="N664" i="19" s="1"/>
  <c r="N665" i="19" s="1"/>
  <c r="J673" i="19"/>
  <c r="J675" i="19" s="1"/>
  <c r="J702" i="19" s="1"/>
  <c r="J703"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Jonas Maratita</author>
  </authors>
  <commentList>
    <comment ref="F49" authorId="0" shapeId="0" xr:uid="{057EE1F2-B681-4A33-883E-E1E1DA93BF3F}">
      <text>
        <r>
          <rPr>
            <b/>
            <sz val="9"/>
            <color indexed="81"/>
            <rFont val="Tahoma"/>
            <family val="2"/>
          </rPr>
          <t>Jonas Maratita:</t>
        </r>
        <r>
          <rPr>
            <sz val="9"/>
            <color indexed="81"/>
            <rFont val="Tahoma"/>
            <family val="2"/>
          </rPr>
          <t xml:space="preserve">
Change from 5 to 9 -  12/29/22</t>
        </r>
      </text>
    </comment>
    <comment ref="F52" authorId="0" shapeId="0" xr:uid="{431BF7BA-D010-4D30-B570-C0B56E88822F}">
      <text>
        <r>
          <rPr>
            <b/>
            <sz val="9"/>
            <color indexed="81"/>
            <rFont val="Tahoma"/>
            <family val="2"/>
          </rPr>
          <t>Jonas Maratita:</t>
        </r>
        <r>
          <rPr>
            <sz val="9"/>
            <color indexed="81"/>
            <rFont val="Tahoma"/>
            <family val="2"/>
          </rPr>
          <t xml:space="preserve">
Change from 2 to 3 - 12/29/22</t>
        </r>
      </text>
    </comment>
    <comment ref="B295" authorId="0" shapeId="0" xr:uid="{5A42A20E-7AD2-422F-8D8E-47A471D40D65}">
      <text>
        <r>
          <rPr>
            <b/>
            <sz val="9"/>
            <color indexed="81"/>
            <rFont val="Tahoma"/>
            <family val="2"/>
          </rPr>
          <t>Jonas Maratita:</t>
        </r>
        <r>
          <rPr>
            <sz val="9"/>
            <color indexed="81"/>
            <rFont val="Tahoma"/>
            <family val="2"/>
          </rPr>
          <t xml:space="preserve">
REVIEW POSITION TITLE TO ENSURE ACCURATE ANNUAL SALARY PROJECTION</t>
        </r>
      </text>
    </comment>
    <comment ref="D388" authorId="0" shapeId="0" xr:uid="{E1005DA9-F2C2-4B54-9BE2-8CB3DE45999E}">
      <text>
        <r>
          <rPr>
            <b/>
            <sz val="9"/>
            <color indexed="81"/>
            <rFont val="Tahoma"/>
            <family val="2"/>
          </rPr>
          <t>Jonas Maratita:</t>
        </r>
        <r>
          <rPr>
            <sz val="9"/>
            <color indexed="81"/>
            <rFont val="Tahoma"/>
            <family val="2"/>
          </rPr>
          <t xml:space="preserve">
195 trips per month for 5 years as noted on budget sheet
</t>
        </r>
      </text>
    </comment>
    <comment ref="B451" authorId="0" shapeId="0" xr:uid="{1D9E728F-D06C-4E98-B4CA-A4CB90F8FDED}">
      <text>
        <r>
          <rPr>
            <b/>
            <sz val="9"/>
            <color indexed="81"/>
            <rFont val="Tahoma"/>
            <family val="2"/>
          </rPr>
          <t>Jonas Maratita:</t>
        </r>
        <r>
          <rPr>
            <sz val="9"/>
            <color indexed="81"/>
            <rFont val="Tahoma"/>
            <family val="2"/>
          </rPr>
          <t xml:space="preserve">
Provide entire Period of Performance</t>
        </r>
      </text>
    </comment>
    <comment ref="B471" authorId="0" shapeId="0" xr:uid="{4CC53555-5282-4165-AF2A-7993DAEEE1A8}">
      <text>
        <r>
          <rPr>
            <b/>
            <sz val="9"/>
            <color indexed="81"/>
            <rFont val="Tahoma"/>
            <family val="2"/>
          </rPr>
          <t>Jonas Maratita:</t>
        </r>
        <r>
          <rPr>
            <sz val="9"/>
            <color indexed="81"/>
            <rFont val="Tahoma"/>
            <family val="2"/>
          </rPr>
          <t xml:space="preserve">
Provide entire Period of Performance</t>
        </r>
      </text>
    </comment>
    <comment ref="E537" authorId="0" shapeId="0" xr:uid="{B3981585-A033-4232-933E-5ED61FF65ED4}">
      <text>
        <r>
          <rPr>
            <b/>
            <sz val="9"/>
            <color indexed="81"/>
            <rFont val="Tahoma"/>
            <family val="2"/>
          </rPr>
          <t>Jonas Maratita:</t>
        </r>
        <r>
          <rPr>
            <sz val="9"/>
            <color indexed="81"/>
            <rFont val="Tahoma"/>
            <family val="2"/>
          </rPr>
          <t xml:space="preserve">
Reduced year 1 by $5,751</t>
        </r>
      </text>
    </comment>
    <comment ref="H651" authorId="0" shapeId="0" xr:uid="{F73D6C1C-4972-4251-870B-9561251141E8}">
      <text>
        <r>
          <rPr>
            <b/>
            <sz val="9"/>
            <color indexed="81"/>
            <rFont val="Tahoma"/>
            <family val="2"/>
          </rPr>
          <t>Jonas Maratita:</t>
        </r>
        <r>
          <rPr>
            <sz val="9"/>
            <color indexed="81"/>
            <rFont val="Tahoma"/>
            <family val="2"/>
          </rPr>
          <t xml:space="preserve">
REDUCED FROM 114612 TO 114136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Jonas Maratita</author>
  </authors>
  <commentList>
    <comment ref="F48" authorId="0" shapeId="0" xr:uid="{CE16B772-2791-4ADB-B269-48B1307306F7}">
      <text>
        <r>
          <rPr>
            <b/>
            <sz val="9"/>
            <color indexed="81"/>
            <rFont val="Tahoma"/>
            <family val="2"/>
          </rPr>
          <t>Jonas Maratita:</t>
        </r>
        <r>
          <rPr>
            <sz val="9"/>
            <color indexed="81"/>
            <rFont val="Tahoma"/>
            <family val="2"/>
          </rPr>
          <t xml:space="preserve">
Change from 5 to 9 -  12/29/22</t>
        </r>
      </text>
    </comment>
    <comment ref="F51" authorId="0" shapeId="0" xr:uid="{F447C7FD-35B5-4862-8118-83F0EC84D544}">
      <text>
        <r>
          <rPr>
            <b/>
            <sz val="9"/>
            <color indexed="81"/>
            <rFont val="Tahoma"/>
            <family val="2"/>
          </rPr>
          <t>Jonas Maratita:</t>
        </r>
        <r>
          <rPr>
            <sz val="9"/>
            <color indexed="81"/>
            <rFont val="Tahoma"/>
            <family val="2"/>
          </rPr>
          <t xml:space="preserve">
Change from 2 to 3 - 12/29/22</t>
        </r>
      </text>
    </comment>
    <comment ref="B294" authorId="0" shapeId="0" xr:uid="{D2FEF525-C73C-4A25-9671-EB62C30AFDC6}">
      <text>
        <r>
          <rPr>
            <b/>
            <sz val="9"/>
            <color indexed="81"/>
            <rFont val="Tahoma"/>
            <family val="2"/>
          </rPr>
          <t>Jonas Maratita:</t>
        </r>
        <r>
          <rPr>
            <sz val="9"/>
            <color indexed="81"/>
            <rFont val="Tahoma"/>
            <family val="2"/>
          </rPr>
          <t xml:space="preserve">
REVIEW POSITION TITLE TO ENSURE ACCURATE ANNUAL SALARY PROJECTION</t>
        </r>
      </text>
    </comment>
    <comment ref="D377" authorId="0" shapeId="0" xr:uid="{713831DD-ED17-45B2-AD08-8FA72D5EC7E8}">
      <text>
        <r>
          <rPr>
            <b/>
            <sz val="9"/>
            <color indexed="81"/>
            <rFont val="Tahoma"/>
            <family val="2"/>
          </rPr>
          <t>Jonas Maratita:</t>
        </r>
        <r>
          <rPr>
            <sz val="9"/>
            <color indexed="81"/>
            <rFont val="Tahoma"/>
            <family val="2"/>
          </rPr>
          <t xml:space="preserve">
195 trips per month for 5 years as noted on budget sheet
</t>
        </r>
      </text>
    </comment>
    <comment ref="E597" authorId="0" shapeId="0" xr:uid="{FD3C47B3-8614-4FDA-B24D-7D50B4A214EB}">
      <text>
        <r>
          <rPr>
            <b/>
            <sz val="9"/>
            <color indexed="81"/>
            <rFont val="Tahoma"/>
            <family val="2"/>
          </rPr>
          <t>Jonas Maratita:</t>
        </r>
        <r>
          <rPr>
            <sz val="9"/>
            <color indexed="81"/>
            <rFont val="Tahoma"/>
            <family val="2"/>
          </rPr>
          <t xml:space="preserve">
Reduced year 1 by $5,751</t>
        </r>
      </text>
    </comment>
    <comment ref="H698" authorId="0" shapeId="0" xr:uid="{30934CA4-931F-4F23-9ACC-B2F824906F79}">
      <text>
        <r>
          <rPr>
            <b/>
            <sz val="9"/>
            <color indexed="81"/>
            <rFont val="Tahoma"/>
            <family val="2"/>
          </rPr>
          <t>Jonas Maratita:</t>
        </r>
        <r>
          <rPr>
            <sz val="9"/>
            <color indexed="81"/>
            <rFont val="Tahoma"/>
            <family val="2"/>
          </rPr>
          <t xml:space="preserve">
reduced to $240,000
</t>
        </r>
      </text>
    </comment>
    <comment ref="H700" authorId="0" shapeId="0" xr:uid="{8095961A-23A0-49B4-BF75-6C0CEC66903C}">
      <text>
        <r>
          <rPr>
            <b/>
            <sz val="9"/>
            <color indexed="81"/>
            <rFont val="Tahoma"/>
            <family val="2"/>
          </rPr>
          <t>Jonas Maratita:</t>
        </r>
        <r>
          <rPr>
            <sz val="9"/>
            <color indexed="81"/>
            <rFont val="Tahoma"/>
            <family val="2"/>
          </rPr>
          <t xml:space="preserve">
REDUCED TO 45K</t>
        </r>
      </text>
    </comment>
  </commentList>
</comments>
</file>

<file path=xl/sharedStrings.xml><?xml version="1.0" encoding="utf-8"?>
<sst xmlns="http://schemas.openxmlformats.org/spreadsheetml/2006/main" count="3739" uniqueCount="577">
  <si>
    <t>Applicant Name: Southern Nevada Health District</t>
  </si>
  <si>
    <r>
      <t xml:space="preserve">BUDGET NARRATIVE
</t>
    </r>
    <r>
      <rPr>
        <sz val="8"/>
        <color indexed="10"/>
        <rFont val="Arial"/>
        <family val="2"/>
      </rPr>
      <t>(Form Revised December 2022)</t>
    </r>
  </si>
  <si>
    <t>DIV/DEPT</t>
  </si>
  <si>
    <t>Total Personnel Costs:</t>
  </si>
  <si>
    <t>Position | PCN | Name if filled</t>
  </si>
  <si>
    <t>Annual Salary</t>
  </si>
  <si>
    <t>Fringe Rate</t>
  </si>
  <si>
    <t>% of Time</t>
  </si>
  <si>
    <t xml:space="preserve">Months </t>
  </si>
  <si>
    <t>Percent of Months worked  Annual</t>
  </si>
  <si>
    <t>Amount Requested</t>
  </si>
  <si>
    <t>Strategy</t>
  </si>
  <si>
    <t>Position Type</t>
  </si>
  <si>
    <t>YEAR 1</t>
  </si>
  <si>
    <t>Digital Content Specialist | 9243351001 | Kaylina Fleuridas - YEAR 1</t>
  </si>
  <si>
    <t>A1</t>
  </si>
  <si>
    <t>Retain</t>
  </si>
  <si>
    <t>YEAR 2</t>
  </si>
  <si>
    <t>YEAR 3</t>
  </si>
  <si>
    <t>YEAR 4</t>
  </si>
  <si>
    <t>YEAR 5</t>
  </si>
  <si>
    <t xml:space="preserve">Justification: The digital content specialist position is currently term-limited. Before receiving funding for this position, the Office of Communications did not have a position dedicated to developing social media messages and digital content. Duties were spread throughout communications staff to try and ensure the agency's digital platforms were providing updated content about public health issues and emergencies to the public, stakeholders and the media. Because staff was doing this in addition to their primary duties, it was challenging to keep up with the demands of social media. A dedicated position, filled by someone with the requisite skills, will allow the office to more fully support Health District programs and initiatives while meeting the public's information needs. This position is slated for retention.  Budget total included: $272,273 salary - $387,989 including fringe. The position is grant funded  is the total amount submitted for the 5 YEAR budget </t>
  </si>
  <si>
    <t>Accounting Technician - YEAR 1</t>
  </si>
  <si>
    <t>New - public release</t>
  </si>
  <si>
    <t>Justification:Administration - Finance Department - This position is intended to work within the Accounts Payable department and also provide support to other Finance functions once workload can be distributed appropriately.  The recent volume of grants has resulted in an increase in transactions and complexity of processing payments and reconciliations.  Once the backlog of activity is brought current, the new position will allow for a more equitable distribution of workload, provide an ability to document processes and procedures and faciliatate more engagement with other functional areas in Finance to provide support and information.  Anticipated results include retention of current staff as workload is distributed more equitably, increased unit cross-training and providing more timely and accurate transaction processing. Recent turnover rates in Finance have been as high as 90%, resulting in a loss of institutional knowledge and a broader need to retain existing talent.     Assumes 3% COLA and 3% Merit increase each YEAR.</t>
  </si>
  <si>
    <t>Accounting Supervisor - YEAR 1</t>
  </si>
  <si>
    <t>A2</t>
  </si>
  <si>
    <t xml:space="preserve">Justification:  An Accounting Supervisor would be hired to support the Finance department. This position is intended to work with the current Accounting Supervisor to better manage the supervisory duties which will allow more efforts towards training, developing the workforce and improvement of the processes/policies within Finance.  The Accounting Supervisor has 14 direct reports across diverse functions which does not allow for appropriate levels of support and oversight under a single individual. Consultant review of the Finance Department indicates SNHD has increased total revenue by approx. 85% in last 5 YEARs. That includes approx. 231% increase in operating grants and contributions, a revenue generally requiring increased compliance and reporting requirements.  Although Finance staffing increased during the period, the consultant concluded the increase was not commensurate with the hours and experience or expertise needed to maintain an appropriate support for the Finance activities.  Assumes 3% COLA and 3% Merit increase each YEAR. </t>
  </si>
  <si>
    <t>Senior HR Analyst | PCN 9142205001 | VACANT</t>
  </si>
  <si>
    <t xml:space="preserve">Justification: Responsible for performing a variety of complex senior level professional activities in support of a centralized human resources system including recruitment and selection, job analysis, classification and compensation plan administration, employee/organizational development, training, and employee/labor relations; independently conducts projects/studies or provides team project leadership for professional or technical staff. This position will focus on evaluating and revising job classifications and job series terms to allow for increases in salary and benefits for existing positions. This individual will include monitoring the competitive market for compensation and benefit trends, programs and offerings, maintaining compensation systems and leave programs and conducting benefit and wellness education programs focusing on the whole employee. Their findings, data and analytics will be reported to HR Director, HR Manager and Program Evaluation Coordinator. </t>
  </si>
  <si>
    <t>Human Resources Business Partner | PCN 9143201001 | VACANT - YEAR 1</t>
  </si>
  <si>
    <t>Justification: This position is responsible for aligning business objectives with employees and management in the FQHC/SNCHC Division, including establishing and expanding contractual partnerships to add offerings that meet CDC quality training programs to improve quality and relevance, supporting District divisions with  the development of recruiting strategies focusing on diversity, inclusion and equity. This individual will be responsible for ensuring reports and documentation are submitted to HR Director, HR Manager, and Program Evaluation Coordinator. Position will convert to general funds in YEAR 3.</t>
  </si>
  <si>
    <t>Chief Administrative and Strategy Officer (Workforce Development Director) - 
YEAR 1</t>
  </si>
  <si>
    <t xml:space="preserve">Justification: (already hired) A total salary amount of $510,000, $726,750 including fringe, was included for this position, an average salary of $102,000/yr., $145,350 including fringe annually. </t>
  </si>
  <si>
    <t>Program Evaluation Coordinator  - YEAR 1</t>
  </si>
  <si>
    <t>Justification: A total salary amount of $400,222, $570,316 including fringe, was included for this position, an average salary of $80,045/yr., $114,065 including fringe annually.</t>
  </si>
  <si>
    <t>Senior Network Engineer - YEAR 1</t>
  </si>
  <si>
    <t>Justification: The Senior network engineer position designs and creates computer networks within an organization and ensure that they are working properly. They are also responsible for maintaining the safety and security of the organization's systems and network database to prevent unauthorized access and avoid data breaches. (This is a new position.)</t>
  </si>
  <si>
    <t>Program Specialist I | PCN 9172781006 | Castelo, Michael-YEAR 1</t>
  </si>
  <si>
    <t>Justification: The Program System Specialist is responsible for frontline IT support, including Help Desk, user account support and general computer and peripherials assistance. Retaining this position which was originally funded by covid grant.</t>
  </si>
  <si>
    <t>Program Specialist II |  PCN 9172781001 | Durga, Jonabel - YEAR 1</t>
  </si>
  <si>
    <t>Software Engineer | PCN 9172981005 | Floresca, Gabrielle - YEAR 1</t>
  </si>
  <si>
    <t>Justification:  Under general direction, creates, tests and evaluates software applications and systems to meet user and District operational needs and requirements.
Retaining this position which was originally funded by covid grant.</t>
  </si>
  <si>
    <t>Software Engineer (2)  | PCN 9172981006 | Ruiz, Luis - YEAR 1</t>
  </si>
  <si>
    <t>Applications Programmer Analyst I/II | PCN 9171175001 | Hidrosollo, Daryl - YEAR 1</t>
  </si>
  <si>
    <t>IT Systems Administrator  | PCN 9172341003 | Yumul, Joseph - YEAR 1</t>
  </si>
  <si>
    <t>Justification: The IT Systems Administrator I/II is responsible for all aspects of systems administration for the District, including servers, applications, and databases. This includes implementation, configuration, coordination, control, maintenance, troubleshooting, security, usage monitoring and the development of specialized system procedures within the District. Retaining this position which was originally funded by covid grant.</t>
  </si>
  <si>
    <t>Systems Administrator | PCN 9172341002 | Rufo, Arc - YEAR 1</t>
  </si>
  <si>
    <t>Computer Systems Analyst  | PCN 9172341003 | Marchetta, Taylor - YEAR 1</t>
  </si>
  <si>
    <t>Justification: The IT Systems Administrator I/II is responsible for all aspects of systems administration for the District, including servers, applications, and databases. This includes implementation, configuration, coordination, control, maintenance, troubleshooting, security, usage monitoring and the development of specialized system procedures within the District.
Retaining this position which was originally funded by covid grant.</t>
  </si>
  <si>
    <t>Community Health Worker | NO PCN | YEAR 1</t>
  </si>
  <si>
    <t>Justification:This position will be located in the Office of Chronic Disease Prevention and Health Promotion and will work with community partners including Together We Can and the Clark County School District to support implementation of nutrition and physical activity programs for priority populations including Nutrition Incentive Programs and Safe Routes to Schools Programs.  These programs will serve to increase food security and access to healthy foods as well as promote physical activity and active transportation among children and families. The CHW will engage with food insecure and low-income families to help connect priority populations to available community resources. No funding requested for CHW for YEAR 1. CHW position to be funded beginning YEAR 2 through 5 after existing staff assist with planning and collaboration to scale activities.</t>
  </si>
  <si>
    <t>Health Equity Coordinator| 6461073001| Xavier Foster YEAR 1</t>
  </si>
  <si>
    <t>Justification:This position will be responsible for coordination and implementation of health equity strategies to address health disparities among underserved and at high-risk populations.  The Health Equity Coordinator will lead in the implementation of health equity strategies, capacity building, partner collaborations and the supervision and performance evaluation of three full time Health Educators.</t>
  </si>
  <si>
    <t>Health Educator | 6462111002 | Belen Campos Garcia  - YEAR 1</t>
  </si>
  <si>
    <t>Justification:This position will assist in the implementation of health equity strategies, conduct organization and community capacity building, collaborate with partners, and conduct community outreach.</t>
  </si>
  <si>
    <t>Health Educator| 6462111001 | Cynthia Mora - YEAR 1</t>
  </si>
  <si>
    <t>Justification: This position will assist in the implementation of health equity strategies, conduct organization and community capacity building, collaborate with partners, and conduct community outreach.</t>
  </si>
  <si>
    <t>Health Educator| 6462111003 | Crystal Montgomery - YEAR 1</t>
  </si>
  <si>
    <t>Bioterrorism Coordinator | 6180000001 |  YEAR 1</t>
  </si>
  <si>
    <t xml:space="preserve">Justification: This position serves as the Laboratory Bioterrorism Preparedness Coordinator. The BT Coordinator is responsible for the coordination of of preparedness activities between the PHL and the local hospital laboratories, private and public health care providers, and first responders related to agents of bioterrorism (BT). Administration of the program includes outreach, technical training and program support along with performance of the technical procedures. Additionally, they will be the liaison with state, regional and federal Laboratory Response Network (LRN) laboratories and provide resources, outreach, and communications associated with overall laboratory prepredness, workload surge capacity, laboratory continuity of operations (COOP) planning and incident management. The BT Coordinator will direct and perform program operational activities including service delivery, public and interagency relatins, program monitoring, consultation, technical assistance, etc. to ensure organizational goals are met and program activities comply with applicable regulations. </t>
  </si>
  <si>
    <t>Administrative Assistant | Kelli Simpson  YEAR 1</t>
  </si>
  <si>
    <t>Justification: Salary of $189,196 in original budget for this position, $269,604 including fringe for the 5 YEARs of the grant. Administrative support for the informatics program, inclding the coordination of calendars, tracking budgets, purchasing and reimburesement, interfacing with othyer DSC programs, as well as other office coordination activities.</t>
  </si>
  <si>
    <t>Informatician 1 (1) | YEAR 1</t>
  </si>
  <si>
    <t>Justification: This position will focus on modernizating of public health data systems and building bioinformatics and data science capabilities to support disease surveillance, outbreak investigation and epidemiological study, and provide predictive ability to identify emerging public health risks and concerns. Salary of $395,250 in original budget for this position, $563,231 including fringe, this was for the full grant.</t>
  </si>
  <si>
    <t>Informatician 1 (2) | YEAR 1</t>
  </si>
  <si>
    <t>Informatician 1 (3) | YEAR 1</t>
  </si>
  <si>
    <t>Justification: The third Informatician looks like it was to be .775 on A1 and .225 on A2-specifically to work on a master patient index and GIS related actvities, A2.2, St. 10.2</t>
  </si>
  <si>
    <t>Epidemiologist | YEAR 1</t>
  </si>
  <si>
    <t>Justification:  The position will apply established scientific and technical methods and practices in infectious disease and molecular epidemiology to identify and evaluate health conditions emerging from outbreaks and/or urgent public health events. Salary of $264,500 in original budget for this position, $376,913 with fringe for the full period of the grant.</t>
  </si>
  <si>
    <t>Senior Epidemiologist | YEAR 1</t>
  </si>
  <si>
    <t>Justification: The position will perform epidemiological analysis to address health disparities, and provide scientific advice and technical assistance to communities and outside partners with respect to evaluation and mitigate health disparities. Effectively advise and mentor entry-level staff, interns, and fellows on applying epidemiologic methods to complex public health issues in the cultural/social/political framework. Salary of $375,144 in original budget for this position, $534,580 with fringe for the full period of the grant.</t>
  </si>
  <si>
    <t>Communicable Disease Supervisor 1  | YEAR 1</t>
  </si>
  <si>
    <t>New - internal release</t>
  </si>
  <si>
    <t>Justification:  Supervises the outbreak response team- a team that focuses on communicable disease investigations, interventions, testing, and outbreak identification and follow up. Has oversight over field and outreach activities including disease investigations, testing events, community outreaches, strike team deployment and large scale exposure investigations and outbreaks. Utilized localized data to inform populations, geographic areas, to drive decisions on outreach and field activities.</t>
  </si>
  <si>
    <t>Communicable Disease Supervisor 1 (2)  | YEAR 1</t>
  </si>
  <si>
    <t>Justification: Supervises the outbreak response team- a team that focuses on communicable disease investigations, interventions, testing, and outbreak identification and follow up. Has oversight over field and outreach activities including disease investigations, testing events, community outreaches, strike team deployment and large scale exposure investigations and outbreaks. Utilized localized data to inform populations, geographic areas, to drive decisions on outreach and field activities.</t>
  </si>
  <si>
    <t>Disease Investigation and Intervention Specialist (DIIS)   | YEAR 1</t>
  </si>
  <si>
    <t xml:space="preserve">Justification: Respond to and investigate diseases while providing interventions, mitigation practices, ensuring Tx and prophylaxis and implementation of other disease control measures. During the pandemic, many reportable diseases were not able to be followed up on. Clark county is experiencing increases in many diseases. Disease notification, investigation, and exposure interventions are critical to controlling the spread of communicable diseases. Currently there are only two Disease Investigators for communicable disease investigations (non HIV, STD, TB) to handle surveillance and investigations of more than 65 reportable diseases. These positions can help to address gaps in these investigations, specifically Hepatitis, foodborne, respiratory, etc. </t>
  </si>
  <si>
    <t>Disease Investigation and Intervention Specialist (DIIS) (2) Tabitha Ewing  | YEAR 1</t>
  </si>
  <si>
    <t>Disease Investigation and Intervention Specialist (DIIS) (3) Rebecca Reyes  | YEAR 1</t>
  </si>
  <si>
    <t>Disease Data Collection Specialist (DDCS)  | YEAR 1</t>
  </si>
  <si>
    <t>DDCS II SALARY LISTED ON BUDGET</t>
  </si>
  <si>
    <t xml:space="preserve">Justification:Outbreak Response/Strike Team- address gaps- Hepatitis, foodborne illness, respiratory, etc. This position allows for flexibility in disease surveillance and response activities. DDCS receive, prioritize and triage incoming reports of reportable disease, reports of outbreaks, and reports of unusual illness by processing the report into the disease surveillance system and managing databases that receive electronic lab and case reports. The data processed by this team is what is ultimately reported to the state and CDC, and utilized by our epidemiology teams to drive our interventions for specific populations. This position is critical in timely receipt and entry of reports, provider education on reporting requirements,  obtaining medica records and abstracting critical medical record information for disease surveillance purposes. Additionally, this classification is trained and certified to do field work for community outreach activities and conduct sample collection for testing for a variety of diseases as part of a disease investigation or prevention/intervention activity. Additionally activities for this group of DDCS include supporting waste water sample collections and public health activities in response to wastewater data. </t>
  </si>
  <si>
    <t>Disease Data Collection Specialist (DDCS) (2) | YEAR 1</t>
  </si>
  <si>
    <t>Disease Data Collection Specialist (DDCS) (3)  | YEAR 1</t>
  </si>
  <si>
    <t>Disease Data Collection Specialist (DDCS) (4) | YEAR 1</t>
  </si>
  <si>
    <t>Disease Data Collection Specialist (DDCS) (5) | YEAR 1</t>
  </si>
  <si>
    <t>Disease Data Collection Specialist (DDCS) (6)  | YEAR 1</t>
  </si>
  <si>
    <t>Disease Data Collection Specialist (DDCS) (7)  | YEAR 1</t>
  </si>
  <si>
    <t>Academic Affairs Coordinator | (PCN 1000) | - YEAR 1</t>
  </si>
  <si>
    <t>Justification:Reclassify Academic Affairs Coordinator position to a mangerial position to accurately reflect Academic Affairs Coordinator duties including administration of the Academic Health Department, and other efforts to expand programs that benefit the public health workforce pipeline and the future public health workforce. A total of $159,290 in the salary category was included in the original budget for this reclassification over the full period of the grant, $226,988 total including fringe.</t>
  </si>
  <si>
    <t>Environmental Health Supervisor
Aquatic Health Operations - YEAR 1</t>
  </si>
  <si>
    <t>Justification: This new position will supervise, assign, review, and participate in the work of staff responsible for providing aquatic health inspection and investigation services; perform a variety of technical tasks relative to the Aquatic Health Operations program.</t>
  </si>
  <si>
    <t>Environmental Health Specialist I/II 
Aquatic Health Operations - YEAR 1</t>
  </si>
  <si>
    <t xml:space="preserve">Justification:Administration - </t>
  </si>
  <si>
    <t>Environmental Health Specialist I/II 
Aquatic Health Operations (2) - YEAR 1</t>
  </si>
  <si>
    <t>Senior Environmental Health Specialist
Aquatic Health Operations - YEAR 1</t>
  </si>
  <si>
    <t>Justification: This new position will lead, plan, coordinate and participate in advanced aquatic health inspections and investigations; coordinates special projects; leads and trains lower-level staff.</t>
  </si>
  <si>
    <t>Environmental Health Specialist I/II - Legionella - YEAR 1</t>
  </si>
  <si>
    <t>Justification: This new position will conducts single case and outbreak investigations in public accommodation facilities and residences; manages collection of water samples and investigation data and performs special projects as assigned.</t>
  </si>
  <si>
    <t>Environmental Health Specialist I/II - Public Accommodations - YEAR 1</t>
  </si>
  <si>
    <t>Administrative Assistant
Vector Control</t>
  </si>
  <si>
    <t>Justification:  Retain current position to continue providing administrative support to the Vector, Legionella, and Public Accommodation programs by intaking complaints, permit applications, ordering supplies, generating invoices, and other clerical duties.</t>
  </si>
  <si>
    <t>Environmental Health Supervisor - Vector Control - YEAR 1</t>
  </si>
  <si>
    <t>Senior Environmental Health Specialist - Vector Control - YEAR 1</t>
  </si>
  <si>
    <t>Nurse Case Manager| PCN | YEAR 1</t>
  </si>
  <si>
    <t xml:space="preserve">Justification: This position will work directly with the population to address perinatal/congenital syphilis (CS) disease burden in the jurisdiction. The Nurse Case Manager (NCM) will provide services to pregnant and post-partum women diagnosed with syphilis and their unborn and/or newbown babies, with special focus on at-risk population.  The nurse will work closely with SNHD's Sexual Health Clinic, FQHC, and with disease investigators to locate, link, and engage patients in medical care and  access to psyco-social support services. This specially trained nurse will provide health education and care coordination to promote adequate and timely syphilis treatment and reduce the risk of vertical transmission. The nurse will participate in the statewide Congenital Syphilis Review Board. Additionally, the nurse will work to incorporate syphilis, perinatal HIV, and Hepatitis B/C case management for at-risk and underserved women, their children, and partners, especially those with no other resource or insurance or with cultural and language barriers.  The NCM will ensure activities are commensurate with patient acuity by providing intensive case management to those identified with highest needs and and using referral process to link patients with lower acuity to available resources such as the FQHC and other community resources for comprehensive care. </t>
  </si>
  <si>
    <t>*Do not delete this row. Grey row used to maintain range of total formulas when employee rows are added/deleted</t>
  </si>
  <si>
    <t>Total Fringe Cost</t>
  </si>
  <si>
    <t>Total Salary Cost:</t>
  </si>
  <si>
    <t>Total Budgeted FTE</t>
  </si>
  <si>
    <t>Travel Total</t>
  </si>
  <si>
    <t>Identify staff who will travel, the purpose, frequency and projected costs. Utilize GSA rates for per diem and lodging (go to www.gsa.gov) and State rates for mileage (58.0 cents) as a guide unless the organization's policies specify lower rates for these expenses.  Out-of-state travel or non-standard fares require special justification.</t>
  </si>
  <si>
    <t>Out-of-State Travel</t>
  </si>
  <si>
    <t>double check formula and revise as needed to include costs of multiple trips</t>
  </si>
  <si>
    <t>CH-LAB</t>
  </si>
  <si>
    <t>Title of Trip &amp; Destination such as CDC Conference: San Diego, CA</t>
  </si>
  <si>
    <t>Cost</t>
  </si>
  <si>
    <t># of Trips</t>
  </si>
  <si>
    <t># of days</t>
  </si>
  <si>
    <t># of Staff</t>
  </si>
  <si>
    <t>Airfare:  cost per trip (origin &amp; designation) x # of trips x # of staff</t>
  </si>
  <si>
    <t>YEAR 2 EST</t>
  </si>
  <si>
    <t>Baggage fee: $ amount per person x # of trips x # of staff</t>
  </si>
  <si>
    <t>YEAR3 EST</t>
  </si>
  <si>
    <t>Per Diem:  $ per day per GSA rate for area x  # of trips x # of staff</t>
  </si>
  <si>
    <t>YEAR 4 EST</t>
  </si>
  <si>
    <t>Lodging: $ per day + $ tax = total $ x  # of trips x # of nights  x # of staff</t>
  </si>
  <si>
    <t>YEAR 5 EST</t>
  </si>
  <si>
    <t>Ground Transportation:  $ per r/trip x # of trips x # of staff</t>
  </si>
  <si>
    <t>Mileage:  (rate per mile x # of miles per r/trip) x # of trips x # of staff</t>
  </si>
  <si>
    <t>Parking:  $ per day x # of trips x  # of days x # of staff</t>
  </si>
  <si>
    <r>
      <rPr>
        <b/>
        <u/>
        <sz val="8"/>
        <rFont val="Arial"/>
        <family val="2"/>
      </rPr>
      <t xml:space="preserve">Justification:  </t>
    </r>
    <r>
      <rPr>
        <sz val="8"/>
        <color indexed="10"/>
        <rFont val="Arial"/>
        <family val="2"/>
      </rPr>
      <t>Who will be traveling, when and why, tie into program objective(s) or indicate required by funder. NO JUSTIFICATION PROVIDED - JCM 12/19/22</t>
    </r>
  </si>
  <si>
    <t>EH</t>
  </si>
  <si>
    <r>
      <t xml:space="preserve">Title of Trip &amp; Destination
</t>
    </r>
    <r>
      <rPr>
        <b/>
        <i/>
        <sz val="8"/>
        <color rgb="FF000000"/>
        <rFont val="Arial"/>
        <family val="2"/>
      </rPr>
      <t>World Aquatic Health conference, TBD</t>
    </r>
  </si>
  <si>
    <t>Year 1</t>
  </si>
  <si>
    <t>Year 2</t>
  </si>
  <si>
    <t>Year 3</t>
  </si>
  <si>
    <t>Year 4</t>
  </si>
  <si>
    <t>Year 5</t>
  </si>
  <si>
    <t>Total</t>
  </si>
  <si>
    <r>
      <rPr>
        <b/>
        <u/>
        <sz val="8"/>
        <rFont val="Arial"/>
        <family val="2"/>
      </rPr>
      <t xml:space="preserve">Justification: </t>
    </r>
    <r>
      <rPr>
        <sz val="8"/>
        <rFont val="Arial"/>
        <family val="2"/>
      </rPr>
      <t>This travel request will be for 1 EHS and 1 Supervisor from the Aquatic Health Ops program. This industry and regulatory-focused conference provides opportunity to earn CEUs required to maintain REHS.  Participants also learn about new technologies/trends in the recreational aquatic industry.</t>
    </r>
  </si>
  <si>
    <r>
      <t xml:space="preserve">Title of Trip &amp; Destination
</t>
    </r>
    <r>
      <rPr>
        <b/>
        <i/>
        <sz val="8"/>
        <color rgb="FF000000"/>
        <rFont val="Arial"/>
        <family val="2"/>
      </rPr>
      <t>American Mosquito Control Association (AMCA) National conference, TBD</t>
    </r>
  </si>
  <si>
    <r>
      <rPr>
        <b/>
        <u/>
        <sz val="8"/>
        <rFont val="Arial"/>
        <family val="2"/>
      </rPr>
      <t xml:space="preserve">Justification: </t>
    </r>
    <r>
      <rPr>
        <sz val="8"/>
        <rFont val="Arial"/>
        <family val="2"/>
      </rPr>
      <t xml:space="preserve">
This travel request is for 3 staff members from Vector Control program. The American Mosquito Control Association (AMCA) annual conference provides staff opportunity to network with regional vector control agencies and learn about advances in surveillance, mapping, control and public education methods. </t>
    </r>
  </si>
  <si>
    <r>
      <t xml:space="preserve">Title of Trip &amp; Destination
</t>
    </r>
    <r>
      <rPr>
        <b/>
        <i/>
        <sz val="8"/>
        <color rgb="FF000000"/>
        <rFont val="Arial"/>
        <family val="2"/>
      </rPr>
      <t>Cross Connection Control Program Specialist training, Los Angeles, CA</t>
    </r>
  </si>
  <si>
    <r>
      <rPr>
        <b/>
        <u/>
        <sz val="8"/>
        <rFont val="Arial"/>
        <family val="2"/>
      </rPr>
      <t xml:space="preserve">Justification: </t>
    </r>
    <r>
      <rPr>
        <sz val="8"/>
        <rFont val="Arial"/>
        <family val="2"/>
      </rPr>
      <t xml:space="preserve">
</t>
    </r>
    <r>
      <rPr>
        <sz val="8"/>
        <color indexed="10"/>
        <rFont val="Arial"/>
        <family val="2"/>
      </rPr>
      <t xml:space="preserve">Who will be traveling, when and why, tie into program objective(s) or indicate required by funder. </t>
    </r>
  </si>
  <si>
    <t>This travel is for 1 staff member from the Legionnaires Disease Program. The Training of Cross Connection Control Program Specialist course will provide knowledge on policies and procedures needed to effectively carry out a cross-connection control program, including how to conduct facility site surveys in order to determine which type of backflow protection, if any, is necessary for meter protection. This is critical knowledge as cross connections between potable and non-potable water can introduce Legionella into the potable water supply system.</t>
  </si>
  <si>
    <t>In-State Travel</t>
  </si>
  <si>
    <t>CH-CD_HE</t>
  </si>
  <si>
    <t>Origin &amp; Destination</t>
  </si>
  <si>
    <t>Motor Pool:($ car/day + ## miles/day x $ rate per mile) x # trips x # days</t>
  </si>
  <si>
    <t>Mileage:  (rate per mile$0.625x12.43 of miles per r/trip) x 85 of trips x 4 of staff</t>
  </si>
  <si>
    <t>OCDPHP included additional  (mileage) for staff in addtion to what Xavier included, but now I can't remember how much I added. No other travel costs required for CDPHP in this budget. Mileage should be inlcuded in years 1-5 though MAZ</t>
  </si>
  <si>
    <r>
      <t xml:space="preserve">Justification: </t>
    </r>
    <r>
      <rPr>
        <sz val="8"/>
        <rFont val="Arial"/>
        <family val="2"/>
      </rPr>
      <t>Health Educators and CHW will travel to conduct community outreach, meet with program partners, program implementation sites, attend coalition meetings, and other project related travel.</t>
    </r>
  </si>
  <si>
    <t>SH</t>
  </si>
  <si>
    <r>
      <rPr>
        <b/>
        <u/>
        <sz val="8"/>
        <rFont val="Arial"/>
        <family val="2"/>
      </rPr>
      <t xml:space="preserve">Justification: </t>
    </r>
    <r>
      <rPr>
        <b/>
        <i/>
        <sz val="8"/>
        <color rgb="FFFF0000"/>
        <rFont val="Arial"/>
        <family val="2"/>
      </rPr>
      <t>Need justification</t>
    </r>
  </si>
  <si>
    <t>Operating Total</t>
  </si>
  <si>
    <t xml:space="preserve">List tangible and expendable personal property, such as office supplies, program supplies, etc.  Unit cost for general items are not required.  Listing of typical or anticipated program supplies should be included. If providing meals, snacks, or basic nutrition, include these costs here. </t>
  </si>
  <si>
    <t>Employee IT requirements(initial)</t>
  </si>
  <si>
    <t>BT Coordinator Computer Laptop</t>
  </si>
  <si>
    <r>
      <t>Justification:</t>
    </r>
    <r>
      <rPr>
        <i/>
        <sz val="8"/>
        <rFont val="Arial"/>
        <family val="2"/>
      </rPr>
      <t xml:space="preserve"> </t>
    </r>
    <r>
      <rPr>
        <i/>
        <sz val="8"/>
        <color indexed="10"/>
        <rFont val="Arial"/>
        <family val="2"/>
      </rPr>
      <t xml:space="preserve">Provide narrative to justify purchase of meals, snacks, large expense or unusual budget items.  Include details how budget item supports deliverables of the project. </t>
    </r>
    <r>
      <rPr>
        <b/>
        <i/>
        <sz val="8"/>
        <color rgb="FFFF0000"/>
        <rFont val="Arial"/>
        <family val="2"/>
      </rPr>
      <t>Need justification</t>
    </r>
    <r>
      <rPr>
        <i/>
        <sz val="8"/>
        <color indexed="10"/>
        <rFont val="Arial"/>
        <family val="2"/>
      </rPr>
      <t xml:space="preserve"> - JCM 12/19/22</t>
    </r>
  </si>
  <si>
    <t>Equipment Total</t>
  </si>
  <si>
    <t>List Equipment purchase or lease costing $5,000 or more, and justify these expenditures.  Also list any computers or computer-related equipment to be purchased regardless of cost.  All other equipment costing less than $5,000 should be listed under Supplies.</t>
  </si>
  <si>
    <t>Describe equipment</t>
  </si>
  <si>
    <t>Contractual Total</t>
  </si>
  <si>
    <t>Identify project workers who are not regular employees of the organization.  Include costs of labor, travel, per diem, or other costs.  Collaborative projects with multiple partners should expand this category to break out personnel, travel, equipment, etc., for each site.  Sub-awards or mini-grants that are a component of a larger project or program may be included here, but require special justification as to the merits of the applicant serving as a "pass-through" entity, and its capacity to do so.</t>
  </si>
  <si>
    <t>Name of Contractor or Subrecipient:</t>
  </si>
  <si>
    <t>HR Contract - Sherhonda/Rich Hazeltine</t>
  </si>
  <si>
    <t>Total Budget</t>
  </si>
  <si>
    <t>Method of Selection:</t>
  </si>
  <si>
    <t xml:space="preserve">State whether the contract is sole source or competitive bid. If an organization is the sole source for the contract, include an explanation as to why this institution is the only one able to perform contract services. </t>
  </si>
  <si>
    <t>Period of Performance:</t>
  </si>
  <si>
    <t xml:space="preserve">Specify the beginning and ending dates of the contract. </t>
  </si>
  <si>
    <t>Scope of Work:</t>
  </si>
  <si>
    <t xml:space="preserve">Describe the specific services/tasks to be performed by the contractor and relate them to the accomplishment of program objectives. Deliverables should be clearly defined. </t>
  </si>
  <si>
    <t>Sole Source Justification:</t>
  </si>
  <si>
    <t xml:space="preserve">  Define if sole source method, not needed for competitive bid</t>
  </si>
  <si>
    <t>Budget</t>
  </si>
  <si>
    <r>
      <rPr>
        <b/>
        <u/>
        <sz val="8"/>
        <color rgb="FF000000"/>
        <rFont val="Arial"/>
        <family val="2"/>
      </rPr>
      <t>Method of Accountability:</t>
    </r>
    <r>
      <rPr>
        <sz val="8"/>
        <color indexed="8"/>
        <rFont val="Arial"/>
        <family val="2"/>
      </rPr>
      <t xml:space="preserve"> </t>
    </r>
    <r>
      <rPr>
        <sz val="8"/>
        <color rgb="FFFF0000"/>
        <rFont val="Arial"/>
        <family val="2"/>
      </rPr>
      <t xml:space="preserve">Describe how the progress and performance of the contactor will be monitored during and on close of the contract period. Identify who will be responsible for supervising the contract. </t>
    </r>
  </si>
  <si>
    <t>AEGIS Learning</t>
  </si>
  <si>
    <t xml:space="preserve">Sole Source </t>
  </si>
  <si>
    <t>March, 2023 - November, 2027</t>
  </si>
  <si>
    <r>
      <rPr>
        <b/>
        <u/>
        <sz val="8"/>
        <color rgb="FF000000"/>
        <rFont val="Arial"/>
        <family val="2"/>
      </rPr>
      <t>Scope of Work:</t>
    </r>
    <r>
      <rPr>
        <b/>
        <sz val="8"/>
        <color rgb="FF000000"/>
        <rFont val="Arial"/>
        <family val="2"/>
      </rPr>
      <t xml:space="preserve"> </t>
    </r>
  </si>
  <si>
    <t>AEGIS Learning will provide personalized and highly accurate assessments for SNHD employees that includes the insight they need to be more effective and successful in the workplace throught the "Everything DiSC Workplace" training program. Each employee will receive a 20 page report at the conclusion of their assessment that will give them significant tools and guidance for understanding themselves and others, communicating more effectively, building quality relationships, and delaing effectively with conflict.  The "Everything DiSC Workplace" training allows SNHD the ability to improve the quality of the workplace  DiSC is an acronym for Dominance, Ifluence, Steadiness, and Conscietiousness. The assessment is a highly accurate measurement of behavior that drives an individuals' most common working interactions. This instrument will assist SNHD employees with the ability for professional development and uncover key ways to  connect better with others and understand themself.  DiSC will be used to gauge how employees communicate, work in groups, lead others, deal with conflict, and make business decisions. Intended outcomes will include decreased turnover rates, higher retention, increased employee and leadership engagement, and increased productivity. Key activity A1.4, St. 8.1.</t>
  </si>
  <si>
    <t>Define if sole source method, not needed for competitive bid</t>
  </si>
  <si>
    <t>Contractor Fees</t>
  </si>
  <si>
    <r>
      <rPr>
        <b/>
        <u/>
        <sz val="8"/>
        <color rgb="FF000000"/>
        <rFont val="Arial"/>
        <family val="2"/>
      </rPr>
      <t>Method of Accountability:</t>
    </r>
    <r>
      <rPr>
        <sz val="8"/>
        <color indexed="8"/>
        <rFont val="Arial"/>
        <family val="2"/>
      </rPr>
      <t xml:space="preserve"> Employee progress and participation will be overseen by the HR Business Partner and reports of trained staff will be reported out quarterly. Contractor will provide various assessment and comparision reports, which will be used to evaluate and implement changes in the workplace to improve understanding and performance to meet established SNHD goals, standard operating procedures, and compliance </t>
    </r>
  </si>
  <si>
    <r>
      <t>Name of Contractor or Subrecipient:</t>
    </r>
    <r>
      <rPr>
        <b/>
        <sz val="8"/>
        <rFont val="Arial"/>
        <family val="2"/>
      </rPr>
      <t xml:space="preserve"> </t>
    </r>
  </si>
  <si>
    <t>NEOGOV</t>
  </si>
  <si>
    <t>A1/A2</t>
  </si>
  <si>
    <t>Describe training</t>
  </si>
  <si>
    <t>$150,780 moved from training A1 - added to year 1 funds</t>
  </si>
  <si>
    <t>Step by step training and implementation of the NEOGOV platforms; eForms, Learn, Perform, HRIS Core, and Attract.</t>
  </si>
  <si>
    <t xml:space="preserve">Justification: Implementation and training costs decreased from initial estimate from NEOGOV. Subscription costs increased. </t>
  </si>
  <si>
    <t>January, 2023 - November, 2025</t>
  </si>
  <si>
    <t>NEOGOV provides HR management solutions for organizations in the public sector. It is an integrated cloud-based applications to meet the unique needs of public sector by automating and supporting the entire employee lifecycle, streamling processes and diversity initiatives, all from one centralized platform. SNHD's will implement the NEOGOV's full HRMS systems to recruit, hire, and nurture its workforce to be inclusive and representative of the southern Nevada population.  Implementation and training of the various product modules will be rolled out over the the first three YEARs of the grant period  The agreement with this contractor supports the subscription fees for the three modules and includes the Recruit Module, Develop Module, and Manage Module. Recruit anf Develop modules will be implemented and put into production first followed by the Manage module to complete the full HRMS system operation. Key activity A1.5, A2.1.</t>
  </si>
  <si>
    <t>Subscription Fees</t>
  </si>
  <si>
    <r>
      <rPr>
        <b/>
        <u/>
        <sz val="8"/>
        <color rgb="FF000000"/>
        <rFont val="Arial"/>
        <family val="2"/>
      </rPr>
      <t>Method of Accountability:</t>
    </r>
    <r>
      <rPr>
        <sz val="8"/>
        <color indexed="8"/>
        <rFont val="Arial"/>
        <family val="2"/>
      </rPr>
      <t xml:space="preserve"> Implementation, platform confirguration, and training progress and participation will be overseen by the HRIS Training Analyst and reports of trained staff will be reported out quarterly. Contractor will provide implementatio and training support, which will be used to evaluate and implement changes of SNHD standard operating procedures and provide ability for numerous analytical and assessment reports District-wide.  </t>
    </r>
  </si>
  <si>
    <t xml:space="preserve"> Michele Royan Consulting LLC</t>
  </si>
  <si>
    <r>
      <t>Method of Selection:</t>
    </r>
    <r>
      <rPr>
        <sz val="8"/>
        <rFont val="Arial"/>
        <family val="2"/>
      </rPr>
      <t xml:space="preserve">  sole source</t>
    </r>
  </si>
  <si>
    <r>
      <t>Period of Performance:</t>
    </r>
    <r>
      <rPr>
        <sz val="8"/>
        <rFont val="Arial"/>
        <family val="2"/>
      </rPr>
      <t xml:space="preserve">  Jan 1, 2023 - December 29, 2027</t>
    </r>
  </si>
  <si>
    <r>
      <rPr>
        <b/>
        <sz val="8"/>
        <rFont val="Arial"/>
        <family val="2"/>
      </rPr>
      <t>Scope of Work:</t>
    </r>
    <r>
      <rPr>
        <sz val="8"/>
        <rFont val="Arial"/>
        <family val="2"/>
      </rPr>
      <t xml:space="preserve">		</t>
    </r>
  </si>
  <si>
    <t>Engagement survey management:  To develop, implement and analyze surveys by sixseconds.org.  Provide coaching and counseling support as needed. Surveys will be conducted every year for 5 years. 
Relevance of Service to the Project: Strategy A1, Key Activity (KA)3-Expanding engagement with the workforce to address their mental, emotional, and physical well-being (measuring engagement, motivation, teamwork, ability to change, and trust as key metrics will allow the agency to implement interventions over time to have a positive impact on the workforce)
KA2 should benefit as a downstream effect (Retain public health staff)</t>
  </si>
  <si>
    <t>On file</t>
  </si>
  <si>
    <t>Personnel and survey management</t>
  </si>
  <si>
    <t>Travel</t>
  </si>
  <si>
    <r>
      <t xml:space="preserve">Method of Accountability: </t>
    </r>
    <r>
      <rPr>
        <sz val="8"/>
        <rFont val="Arial"/>
        <family val="2"/>
      </rPr>
      <t>Provide and manage annual engagement survey with Executive debrief regarding results and recommended implications and interventions plus at least one town-hall meeting to review results.</t>
    </r>
    <r>
      <rPr>
        <u/>
        <sz val="8"/>
        <rFont val="Arial"/>
        <family val="2"/>
      </rPr>
      <t xml:space="preserve"> </t>
    </r>
    <r>
      <rPr>
        <sz val="8"/>
        <rFont val="Arial"/>
        <family val="2"/>
      </rPr>
      <t>Human Resources Manager (OD) will monitor execution and interpretation of results from the contractor.</t>
    </r>
  </si>
  <si>
    <r>
      <t>Method of Selection:</t>
    </r>
    <r>
      <rPr>
        <sz val="8"/>
        <rFont val="Arial"/>
        <family val="2"/>
      </rPr>
      <t xml:space="preserve">  sole source </t>
    </r>
  </si>
  <si>
    <r>
      <t>Period of Performance:</t>
    </r>
    <r>
      <rPr>
        <sz val="8"/>
        <rFont val="Arial"/>
        <family val="2"/>
      </rPr>
      <t xml:space="preserve">  Jan.1, 2023 - June 29, 2023</t>
    </r>
  </si>
  <si>
    <r>
      <t xml:space="preserve">Scope of Work: </t>
    </r>
    <r>
      <rPr>
        <sz val="8"/>
        <color indexed="10"/>
        <rFont val="Arial"/>
        <family val="2"/>
      </rPr>
      <t xml:space="preserve">Conduct 22 Leadership  Development and Coaching assessment package at @ $700/leader including LVS360 survey, SEI Leadership psychometric, Brain Profile and feedback session. Conduct 8 Team Vital Signs assessments and feedback session for leader and group at $1,500 per team.
What will be the specific services/tasks that will be completed and specific deliverables. Assessments and coaching will set a basepoint and infer interventions to improve leader and team performance against competencies of motivation, execution, ability to change, teamwork and trust. </t>
    </r>
    <r>
      <rPr>
        <sz val="8"/>
        <rFont val="Arial"/>
        <family val="2"/>
      </rPr>
      <t xml:space="preserve"> </t>
    </r>
  </si>
  <si>
    <r>
      <rPr>
        <u/>
        <sz val="8"/>
        <color indexed="8"/>
        <rFont val="Arial"/>
        <family val="2"/>
      </rPr>
      <t>* Sole Source Justification:</t>
    </r>
    <r>
      <rPr>
        <sz val="8"/>
        <color indexed="8"/>
        <rFont val="Arial"/>
        <family val="2"/>
      </rPr>
      <t xml:space="preserve">  </t>
    </r>
  </si>
  <si>
    <t>Consulting Services</t>
  </si>
  <si>
    <t xml:space="preserve">Method of Accountability:
</t>
  </si>
  <si>
    <t>HR manager monitors progress through communication with vendor.</t>
  </si>
  <si>
    <t>Name of Contractor or Subrecipient: PeolpeTek Coaching</t>
  </si>
  <si>
    <t xml:space="preserve">Total </t>
  </si>
  <si>
    <r>
      <t>Method of Selection:</t>
    </r>
    <r>
      <rPr>
        <sz val="8"/>
        <rFont val="Arial"/>
        <family val="2"/>
      </rPr>
      <t xml:space="preserve"> </t>
    </r>
  </si>
  <si>
    <t xml:space="preserve"> sole source </t>
  </si>
  <si>
    <t xml:space="preserve"> Feb 1, 2023 - June 29, 2023</t>
  </si>
  <si>
    <r>
      <t xml:space="preserve">Scope of Work: </t>
    </r>
    <r>
      <rPr>
        <sz val="8"/>
        <color indexed="10"/>
        <rFont val="Arial"/>
        <family val="2"/>
      </rPr>
      <t xml:space="preserve">Group coaching for driving execution of defined leadership competencies. Conduct virtual 12 workshops over 24 weeks with cohorts of 7 leaders utilizing proprietary technology to monitor and manage participants that are not actively engaged in ea. workshop (e.g. checking email or other work). Pre and post evaluations will take place for every learning event (virtual and in-person) in addition to multiple validated assessments. Key activity A1.4, St. 8.1. 
What will be the specific services/tasks that will be completed and specific deliverables. How do deliverables relate to your goals and objectives, how will deliverables achieve your objective(s). </t>
    </r>
    <r>
      <rPr>
        <sz val="8"/>
        <rFont val="Arial"/>
        <family val="2"/>
      </rPr>
      <t xml:space="preserve"> </t>
    </r>
    <r>
      <rPr>
        <u/>
        <sz val="8"/>
        <rFont val="Arial"/>
        <family val="2"/>
      </rPr>
      <t>Vendor measures performance pre and post.</t>
    </r>
  </si>
  <si>
    <t>Virtual Workshops</t>
  </si>
  <si>
    <t>Name of Contractor or Subrecipient: Saba/Cornerstone</t>
  </si>
  <si>
    <r>
      <t>Period of Performance:</t>
    </r>
    <r>
      <rPr>
        <sz val="8"/>
        <rFont val="Arial"/>
        <family val="2"/>
      </rPr>
      <t xml:space="preserve">  Apr 1, 2023 - June 29, 2023</t>
    </r>
  </si>
  <si>
    <r>
      <t xml:space="preserve">Scope of Work: </t>
    </r>
    <r>
      <rPr>
        <sz val="8"/>
        <color indexed="10"/>
        <rFont val="Arial"/>
        <family val="2"/>
      </rPr>
      <t xml:space="preserve">Customer Success package for Saba LMS
Provide better learner experience and robust reporting and configuration with escalated coaching and training plus optimization assessments and release rollout preparation. </t>
    </r>
    <r>
      <rPr>
        <sz val="8"/>
        <rFont val="Arial"/>
        <family val="2"/>
      </rPr>
      <t xml:space="preserve"> </t>
    </r>
  </si>
  <si>
    <t>Saba LMS Customer Success Package</t>
  </si>
  <si>
    <r>
      <t xml:space="preserve">Method of Accountability: </t>
    </r>
    <r>
      <rPr>
        <sz val="8"/>
        <rFont val="Arial"/>
        <family val="2"/>
      </rPr>
      <t>Define -HR Manager monitors Level 1 assessment scores and qualitative feedback from leadership and users, in addition to analytical reporting from LMS on number and type of help tickets produced.</t>
    </r>
  </si>
  <si>
    <t>Name of Contractor or Subrecipient: Lattice</t>
  </si>
  <si>
    <r>
      <rPr>
        <u/>
        <sz val="8"/>
        <color indexed="8"/>
        <rFont val="Arial"/>
        <family val="2"/>
      </rPr>
      <t>Period of Performance:</t>
    </r>
    <r>
      <rPr>
        <sz val="8"/>
        <color indexed="8"/>
        <rFont val="Arial"/>
        <family val="2"/>
      </rPr>
      <t xml:space="preserve">  March 1, 2023-Feb 28, 2024</t>
    </r>
  </si>
  <si>
    <r>
      <rPr>
        <u/>
        <sz val="8"/>
        <color indexed="8"/>
        <rFont val="Arial"/>
        <family val="2"/>
      </rPr>
      <t xml:space="preserve">Scope of Work: EEE Pulse surveys., OKRs, Goals module
</t>
    </r>
    <r>
      <rPr>
        <sz val="8"/>
        <color indexed="10"/>
        <rFont val="Arial"/>
        <family val="2"/>
      </rPr>
      <t xml:space="preserve">Provide better learner experience and robust reporting and configuration with escalated coaching and training plus optimization assessments and release rollout preparation. </t>
    </r>
    <r>
      <rPr>
        <sz val="8"/>
        <color indexed="8"/>
        <rFont val="Arial"/>
        <family val="2"/>
      </rPr>
      <t xml:space="preserve"> </t>
    </r>
  </si>
  <si>
    <t>EEE Pulse surveys, OKRs, Goals module</t>
  </si>
  <si>
    <t>Name of Contractor</t>
  </si>
  <si>
    <r>
      <t>Method of Selection:</t>
    </r>
    <r>
      <rPr>
        <sz val="8"/>
        <rFont val="Arial"/>
        <family val="2"/>
      </rPr>
      <t xml:space="preserve">  explain, i.e. sole source or competitive bid</t>
    </r>
  </si>
  <si>
    <r>
      <t>Period of Performance:</t>
    </r>
    <r>
      <rPr>
        <sz val="8"/>
        <rFont val="Arial"/>
        <family val="2"/>
      </rPr>
      <t xml:space="preserve">  June 30, 2014 - June 29, 2015</t>
    </r>
  </si>
  <si>
    <r>
      <t xml:space="preserve">Scope of Work: </t>
    </r>
    <r>
      <rPr>
        <sz val="8"/>
        <color indexed="10"/>
        <rFont val="Arial"/>
        <family val="2"/>
      </rPr>
      <t xml:space="preserve">Define scope of work
What will be the specific services/tasks that will be completed and specific deliverables. How do deliverables relate to your goals and objectives, how will deliverables achieve your objective(s). </t>
    </r>
    <r>
      <rPr>
        <sz val="8"/>
        <rFont val="Arial"/>
        <family val="2"/>
      </rPr>
      <t xml:space="preserve"> </t>
    </r>
  </si>
  <si>
    <r>
      <t>* Sole Source Justification:</t>
    </r>
    <r>
      <rPr>
        <sz val="8"/>
        <rFont val="Arial"/>
        <family val="2"/>
      </rPr>
      <t xml:space="preserve">  </t>
    </r>
    <r>
      <rPr>
        <sz val="8"/>
        <color indexed="10"/>
        <rFont val="Arial"/>
        <family val="2"/>
      </rPr>
      <t>Define if sole source method, not needed for competitive bid</t>
    </r>
  </si>
  <si>
    <t xml:space="preserve">Upfront costs for Payroll and Finance reporting systems first YEAR (A2) </t>
  </si>
  <si>
    <t xml:space="preserve">Annual costs of Payroll and Finance reporting systems for last 4 YEARs of the grant ($80,000/YEAR) (A2) </t>
  </si>
  <si>
    <t>REMOVED $80,000 YEAR 1 A2 - DOUBLE COUNTING. JCM</t>
  </si>
  <si>
    <r>
      <t xml:space="preserve">Method of Accountability:
</t>
    </r>
    <r>
      <rPr>
        <sz val="8"/>
        <rFont val="Arial"/>
        <family val="2"/>
      </rPr>
      <t xml:space="preserve">Define - </t>
    </r>
    <r>
      <rPr>
        <sz val="8"/>
        <color indexed="10"/>
        <rFont val="Arial"/>
        <family val="2"/>
      </rPr>
      <t>Describe how the progress and performance of the consultant will be monitored.  Identify who is responsible for supervising the consultant's work.</t>
    </r>
  </si>
  <si>
    <t>TBD</t>
  </si>
  <si>
    <r>
      <t>Method of Selection:</t>
    </r>
    <r>
      <rPr>
        <sz val="8"/>
        <color rgb="FF000000"/>
        <rFont val="Arial"/>
        <family val="2"/>
      </rPr>
      <t xml:space="preserve">  Sole Source</t>
    </r>
  </si>
  <si>
    <r>
      <t>Period of Performance:</t>
    </r>
    <r>
      <rPr>
        <sz val="8"/>
        <color rgb="FF000000"/>
        <rFont val="Arial"/>
        <family val="2"/>
      </rPr>
      <t xml:space="preserve">  November 1, 2022 - October 31, 2027</t>
    </r>
  </si>
  <si>
    <r>
      <t xml:space="preserve">Scope of Work: </t>
    </r>
    <r>
      <rPr>
        <sz val="8"/>
        <color rgb="FF000000"/>
        <rFont val="Arial"/>
        <family val="2"/>
      </rPr>
      <t xml:space="preserve">Partnerships to be developed with new community partners to implement health equity strategies to provide or expand services and assistance to individuals within specific racial, age, income, ethnicity, geographic or literacy level indications for focused interventions. Key activity A2.5, St. 5.2.
</t>
    </r>
  </si>
  <si>
    <r>
      <t>* Sole Source Justification:</t>
    </r>
    <r>
      <rPr>
        <sz val="8"/>
        <color rgb="FF000000"/>
        <rFont val="Arial"/>
        <family val="2"/>
      </rPr>
      <t xml:space="preserve"> </t>
    </r>
  </si>
  <si>
    <t>Personnel</t>
  </si>
  <si>
    <t>Together We Can</t>
  </si>
  <si>
    <r>
      <t>Method of Selection:</t>
    </r>
    <r>
      <rPr>
        <b/>
        <sz val="8"/>
        <rFont val="Arial"/>
        <family val="2"/>
      </rPr>
      <t xml:space="preserve">  explain, i.e. sole source or competitive bid</t>
    </r>
  </si>
  <si>
    <t>Sole Source</t>
  </si>
  <si>
    <r>
      <t>Period of Performance:</t>
    </r>
    <r>
      <rPr>
        <b/>
        <sz val="8"/>
        <color rgb="FF000000"/>
        <rFont val="Arial"/>
        <family val="2"/>
      </rPr>
      <t xml:space="preserve"> December 1, 2022-November 30, 2027</t>
    </r>
  </si>
  <si>
    <t>Scope of Work: Together We Can is a local organization that strives to bring together diverse partners to help increase access to healthier food, nutrition and wellness education for vulnerable communities.  They are the organization that runs the federally-funded Double Up Food Bucks program - a nutrition incentive program for SNAP users. They have YEARs of experience running the Double Up Food Bucks program and are the only organization in Southern Nevada operating a nutrition incentive program.</t>
  </si>
  <si>
    <t>* Sole Source Justification:  Together We Can is a local organization that strives to bring together diverse partners to help increase access to healthier food, nutrition and wellness education for vulnerable communities.  They are the organization that runs the federally-funded Double Up Food Bucks program - a nutrition incentive program for SNAP users. They have years of experience running the Double Up Food Bucks program and are the only organization in Southern Nevada operating a nutrition incentive program.</t>
  </si>
  <si>
    <t>Personnel: A Program Coordinator will be hired to oversee the Double Up Food Bucks program expansion</t>
  </si>
  <si>
    <t>Travel: Mileage to and from program implementation sites and community meetings.</t>
  </si>
  <si>
    <r>
      <t xml:space="preserve">Operating: To include funding for the nutrition incentives </t>
    </r>
    <r>
      <rPr>
        <sz val="8"/>
        <rFont val="Arial"/>
        <family val="2"/>
      </rPr>
      <t>($140,913)</t>
    </r>
    <r>
      <rPr>
        <sz val="8"/>
        <color rgb="FFFF0000"/>
        <rFont val="Arial"/>
        <family val="2"/>
      </rPr>
      <t xml:space="preserve"> </t>
    </r>
    <r>
      <rPr>
        <sz val="8"/>
        <color rgb="FF000000"/>
        <rFont val="Arial"/>
        <family val="2"/>
      </rPr>
      <t>marketing and promotional materials ($2,000) and office supplies and other program materials ($5,491)</t>
    </r>
  </si>
  <si>
    <t xml:space="preserve">Indirect fees caculated at 10% of direct costs. </t>
  </si>
  <si>
    <t>Operating: To include funding for the nutrition incentives ($85,000) marketing and promotional materials ($5,673) and office supplies and other program materials ($10,000)</t>
  </si>
  <si>
    <r>
      <t xml:space="preserve">Method of Accountability: </t>
    </r>
    <r>
      <rPr>
        <sz val="8"/>
        <color rgb="FF000000"/>
        <rFont val="Arial"/>
        <family val="2"/>
      </rPr>
      <t>SNHD CDPHP will maintain monthly communication with Together We Can staff. SNHD will develop a monthly reporting template which Together We Can will complete and submit each month. SNHD will review progress towards goals and objectives and provide technical assistance to identify solutions to barriers.  SNHD CDPHP leadership will review RFRs submitted by Together We Can for accuracy and track against workplan progress.</t>
    </r>
  </si>
  <si>
    <t>Name of Contractor or Subrecipient: Clark County School District (CCSD)</t>
  </si>
  <si>
    <r>
      <t>Period of Performance:</t>
    </r>
    <r>
      <rPr>
        <sz val="8"/>
        <color rgb="FF000000"/>
        <rFont val="Arial"/>
        <family val="2"/>
      </rPr>
      <t xml:space="preserve">  December 1, 2022-November 30, 2027</t>
    </r>
  </si>
  <si>
    <t xml:space="preserve">Scope of Work:  
To strengthen systems, processes and policies that support BMI data collection, physical activity and active transportation at CCSD schools to ensure that children can walk and bike to school safely. SNHD CDPHP will partner with CCSD to support height and weight data collection for the purposes of providing BMI surveillence data in elementary and middle schools through the purchase of supplies and support the  Safe Routes to Schools Programs (SRTS). In YEAR 1, CCSD will: 
*Secure supplies to support BMI data collection in CCSD schools.
*Conduct assessment of schools currently participating in SRTS to identify SRTS liaisons for 2023-2024 school YEAR.
*Train at least 25 existing schools on subjects such as SRTS program planning, program implementation, promotion, etc. 
*Purchase supplies to support SRTS programs in new and existing schools. 
*Recruit at least 5 new schools to participate in the SRTS program. 
*Expand the number of schools in the SRTS Achievement Level Program by five.  
Key Activity A2.5, St. 5.2
</t>
  </si>
  <si>
    <r>
      <t>* Sole Source Justification:</t>
    </r>
    <r>
      <rPr>
        <sz val="8"/>
        <color rgb="FF000000"/>
        <rFont val="Arial"/>
        <family val="2"/>
      </rPr>
      <t xml:space="preserve">  CCSD is the public school district in Southern Nevada and the fifth largest in the nation. CCSD is legislalively tasked with collection of BMI data in schools. Further, CCSD operates the Safe Routes to School program at CCSD.  There is not another organization that can operate Safe Routes to Schools programming in CCSD schools.  CCSD has experience with Safe Routes to School programming and the ability to communicate directly with schools and Safe Routes to Schools liaisons.</t>
    </r>
  </si>
  <si>
    <t>Personnel: CCSD will hire a Safe Routes to Schools assistant to oversee expansion activities in YEAR 2.</t>
  </si>
  <si>
    <t>Travel: To support SRTS mileage to and from school sites</t>
  </si>
  <si>
    <t xml:space="preserve">Operating: To support BMI data collection, SRTS programing at new and expansion schools to include SRTS liaison stipends, program materials and supplies. </t>
  </si>
  <si>
    <t>Indirect fees caculated at 10% of direct costs.</t>
  </si>
  <si>
    <t>Personnel: CCSD will hire a Safe Routes to Schools assistant to oversee expansion activities.</t>
  </si>
  <si>
    <r>
      <t xml:space="preserve">Method of Accountability:  </t>
    </r>
    <r>
      <rPr>
        <sz val="8"/>
        <color rgb="FF000000"/>
        <rFont val="Arial"/>
        <family val="2"/>
      </rPr>
      <t>SNHD CDPHP will maintain monthly communication with CCSD SRTS staff.  SNHD will develop a monthly reporting template which CCSD will complete and submit each month.  SNHD will review progress towards goals. CDPHP program leadership will review RFRs submitted by CCSD for accuracy and track against workplan progress.</t>
    </r>
  </si>
  <si>
    <t>Training Total</t>
  </si>
  <si>
    <t>List all cost associated with Training, including justification of expenditures.</t>
  </si>
  <si>
    <t>Participant guides and job aids for leadership traning events designed and executed with existing staff.</t>
  </si>
  <si>
    <t>HR</t>
  </si>
  <si>
    <t>Justification: Training participant guides, facilitator guides, and collateral job aids and tools to supplement leadership development in LIFO Life Orientations workshops. This budget allows over $200/YEAR per supervisor and above for these materials. $119,000 over 5 YEARs.</t>
  </si>
  <si>
    <t>TIE-OUT</t>
  </si>
  <si>
    <t>Awards and incentives for completing training curricula</t>
  </si>
  <si>
    <t>A1 SALARIES</t>
  </si>
  <si>
    <t>A2 SALARIES YEAR 1</t>
  </si>
  <si>
    <t>A2 SALARIES YEAR 2-5</t>
  </si>
  <si>
    <t>SALARIES TOTAL</t>
  </si>
  <si>
    <t>A1 TRAVEL</t>
  </si>
  <si>
    <t>A2 TRAVEL YEAR 1</t>
  </si>
  <si>
    <t>Justification: . Awards for each curricula with larger premiums awarded for multiple curricula successfully completed.</t>
  </si>
  <si>
    <t>TRAVEL TOTAL</t>
  </si>
  <si>
    <t>Training registration fees-Training of Cross Connection Control Program Specialist.</t>
  </si>
  <si>
    <t>A1 OPERATING</t>
  </si>
  <si>
    <t>Pool inspector training fees</t>
  </si>
  <si>
    <t>OPERATING TOTAL</t>
  </si>
  <si>
    <t>Training registration fees-American Mosquito Control Association Conference</t>
  </si>
  <si>
    <t xml:space="preserve">Justification: Conference registration and training fees - key activities A1.2, St. 5.2 and A1.1, St. 5.2 </t>
  </si>
  <si>
    <t>A1 CONTRACTS</t>
  </si>
  <si>
    <t>Other Total</t>
  </si>
  <si>
    <t>A2 CONTRACTS YEAR 1</t>
  </si>
  <si>
    <t>Identify and justify these expenditures, which can include virtually any relevant expenditure associated with the project, such as audit costs, car insurance, client transportation, etc.  Stipends or scholarships that are a component of a larger project or program may be included here, but require special justification.</t>
  </si>
  <si>
    <t>A2 CONTRACTS YEAR 2-5</t>
  </si>
  <si>
    <t>Nurses Bonuses</t>
  </si>
  <si>
    <t>JUSTIFICATION NOT PROVIDED</t>
  </si>
  <si>
    <t>CONTRACTS TOTAL</t>
  </si>
  <si>
    <t xml:space="preserve">Referral bonus program for employees who refer applicants to open positions. Key activity A1.1, St.8.1 </t>
  </si>
  <si>
    <t>no amount provided</t>
  </si>
  <si>
    <t>Employee recognition and incentives program, including bonuses, student loan repayment, benefits, moving expenses, remote work. Key activity A1.2, St.5.2</t>
  </si>
  <si>
    <t>A1 TRAINING</t>
  </si>
  <si>
    <r>
      <t xml:space="preserve">Justification:  $30,000 towards All-Hands workforce meeting focused on retention with a health equity lense. </t>
    </r>
    <r>
      <rPr>
        <b/>
        <i/>
        <sz val="8"/>
        <color rgb="FFFF0000"/>
        <rFont val="Arial"/>
        <family val="2"/>
      </rPr>
      <t>NEED JUSTIFICATION FOR REMAINING 84,136</t>
    </r>
  </si>
  <si>
    <t>TRAINING TOTAL</t>
  </si>
  <si>
    <t>Student Stipends, Key actvitity A1.1, St. 5.2</t>
  </si>
  <si>
    <t>Academic Affairs</t>
  </si>
  <si>
    <t>Training - Health Department After Dark Training, speaker honorariums, marketing, handouts, etc. Key activity A1.4, St. 5.2</t>
  </si>
  <si>
    <t>A1 OTHER</t>
  </si>
  <si>
    <t xml:space="preserve">Justification: Student stipends are competitive stipends that promote equity among students to be able complete internships. Health District After Dark funds will help attract speakers and for marketing purposes to engage more of an audience from underserved and marginalized populations. </t>
  </si>
  <si>
    <t>OTHER TOTAL</t>
  </si>
  <si>
    <t>Registration for Legionella Conference</t>
  </si>
  <si>
    <t xml:space="preserve"> Justification: Conference registration and training fees - key activities A1.2, St. 5.2 and A1.1, St. 5.2 </t>
  </si>
  <si>
    <r>
      <t xml:space="preserve">Justification: </t>
    </r>
    <r>
      <rPr>
        <i/>
        <sz val="8"/>
        <rFont val="Arial"/>
        <family val="2"/>
      </rPr>
      <t xml:space="preserve"> </t>
    </r>
    <r>
      <rPr>
        <i/>
        <sz val="8"/>
        <color indexed="10"/>
        <rFont val="Arial"/>
        <family val="2"/>
      </rPr>
      <t>Include narrative to justify any special budget line items included in this category, such as stipends, scholarships, marketing brochures or public information.  Tie budget piece to project deliverable.</t>
    </r>
  </si>
  <si>
    <t>A1 INDIRECT</t>
  </si>
  <si>
    <t>A2 INDIRECT YEAR 1</t>
  </si>
  <si>
    <t>TOTAL DIRECT CHARGES</t>
  </si>
  <si>
    <t>A2 INDIRECT YEAR 2-5</t>
  </si>
  <si>
    <r>
      <rPr>
        <b/>
        <sz val="8"/>
        <rFont val="Arial"/>
        <family val="2"/>
      </rPr>
      <t>Indirect Methodology</t>
    </r>
    <r>
      <rPr>
        <sz val="8"/>
        <rFont val="Arial"/>
        <family val="2"/>
      </rPr>
      <t xml:space="preserve">: </t>
    </r>
    <r>
      <rPr>
        <sz val="8"/>
        <color indexed="10"/>
        <rFont val="Arial"/>
        <family val="2"/>
      </rPr>
      <t>10% indirect is charged</t>
    </r>
  </si>
  <si>
    <t>INDIRECT RATE:</t>
  </si>
  <si>
    <t>TOTAL INDIRECT</t>
  </si>
  <si>
    <t>INDIRECT CHARGES</t>
  </si>
  <si>
    <t>TOTAL BUDGET</t>
  </si>
  <si>
    <t>TOTAL  BUDGET</t>
  </si>
  <si>
    <t>VARIANCE</t>
  </si>
  <si>
    <t>TOTAL APPROVED BUDGET PER NOA</t>
  </si>
  <si>
    <t>A2 YEAR 1</t>
  </si>
  <si>
    <t>INDIRECT</t>
  </si>
  <si>
    <t>ADMIN-COMM</t>
  </si>
  <si>
    <t>ADMIN-FINANCE</t>
  </si>
  <si>
    <t>ADMIN-HR</t>
  </si>
  <si>
    <t>A1 TOTAL</t>
  </si>
  <si>
    <t>ADMIN-IT</t>
  </si>
  <si>
    <t>A2 YEAR 1 INDIRECT</t>
  </si>
  <si>
    <t>DSC</t>
  </si>
  <si>
    <t>PPC-ACAD AFFAIRS</t>
  </si>
  <si>
    <t>A2 YEAR 2-5</t>
  </si>
  <si>
    <t>A2 CONTRACT YEAR 2-5</t>
  </si>
  <si>
    <t>A2 TOTAL YEAR 2-5</t>
  </si>
  <si>
    <t>A1 NOA AMOUNT</t>
  </si>
  <si>
    <t>A1 BUDGET</t>
  </si>
  <si>
    <t>w/out contract changes</t>
  </si>
  <si>
    <t>A2 NOA AMOUNT</t>
  </si>
  <si>
    <t>A2 BUDGET</t>
  </si>
  <si>
    <t>Variance</t>
  </si>
  <si>
    <t>NOA AMOUNT</t>
  </si>
  <si>
    <t>BUDGET</t>
  </si>
  <si>
    <r>
      <t xml:space="preserve">BUDGET NARRATIVE
</t>
    </r>
    <r>
      <rPr>
        <sz val="9"/>
        <color indexed="10"/>
        <rFont val="Calibri"/>
        <family val="2"/>
        <scheme val="minor"/>
      </rPr>
      <t>(Form Revised December 2022)</t>
    </r>
  </si>
  <si>
    <t>Workforce Development Director - 
YEAR 1</t>
  </si>
  <si>
    <t>out of class pay</t>
  </si>
  <si>
    <t xml:space="preserve">Justification:A total salary amount of $510,000, $726,750 including fringe, was included for this position, an average salary of $102,000/yr., $145,350 including fringe annually. </t>
  </si>
  <si>
    <t>Administrative Assistant
Vector Control - YEAR 1</t>
  </si>
  <si>
    <r>
      <rPr>
        <b/>
        <u/>
        <sz val="9"/>
        <rFont val="Calibri"/>
        <family val="2"/>
        <scheme val="minor"/>
      </rPr>
      <t xml:space="preserve">Justification:  </t>
    </r>
    <r>
      <rPr>
        <sz val="9"/>
        <color indexed="10"/>
        <rFont val="Calibri"/>
        <family val="2"/>
        <scheme val="minor"/>
      </rPr>
      <t>Who will be traveling, when and why, tie into program objective(s) or indicate required by funder. NO JUSTIFICATION PROVIDED - JCM 12/19/22</t>
    </r>
  </si>
  <si>
    <r>
      <t xml:space="preserve">Title of Trip &amp; Destination
</t>
    </r>
    <r>
      <rPr>
        <b/>
        <i/>
        <sz val="9"/>
        <color rgb="FF000000"/>
        <rFont val="Calibri"/>
        <family val="2"/>
        <scheme val="minor"/>
      </rPr>
      <t>World Aquatic Health conference, TBD</t>
    </r>
  </si>
  <si>
    <r>
      <rPr>
        <b/>
        <u/>
        <sz val="9"/>
        <rFont val="Calibri"/>
        <family val="2"/>
        <scheme val="minor"/>
      </rPr>
      <t xml:space="preserve">Justification: </t>
    </r>
    <r>
      <rPr>
        <sz val="9"/>
        <rFont val="Calibri"/>
        <family val="2"/>
        <scheme val="minor"/>
      </rPr>
      <t>This travel request will be for 1 EHS and 1 Supervisor from the Aquatic Health Ops program. This industry and regulatory-focused conference provides opportunity to earn CEUs required to maintain REHS.  Participants also learn about new technologies/trends in the recreational aquatic industry.</t>
    </r>
  </si>
  <si>
    <r>
      <t xml:space="preserve">Title of Trip &amp; Destination
</t>
    </r>
    <r>
      <rPr>
        <b/>
        <i/>
        <sz val="9"/>
        <color rgb="FF000000"/>
        <rFont val="Calibri"/>
        <family val="2"/>
        <scheme val="minor"/>
      </rPr>
      <t>American Mosquito Control Association (AMCA) National conference, TBD</t>
    </r>
  </si>
  <si>
    <r>
      <rPr>
        <b/>
        <u/>
        <sz val="9"/>
        <rFont val="Calibri"/>
        <family val="2"/>
        <scheme val="minor"/>
      </rPr>
      <t xml:space="preserve">Justification: </t>
    </r>
    <r>
      <rPr>
        <sz val="9"/>
        <rFont val="Calibri"/>
        <family val="2"/>
        <scheme val="minor"/>
      </rPr>
      <t xml:space="preserve">
This travel request is for 3 staff members from Vector Control program. The American Mosquito Control Association (AMCA) annual conference provides staff opportunity to network with regional vector control agencies and learn about advances in surveillance, mapping, control and public education methods. </t>
    </r>
  </si>
  <si>
    <r>
      <t xml:space="preserve">Title of Trip &amp; Destination
</t>
    </r>
    <r>
      <rPr>
        <b/>
        <i/>
        <sz val="9"/>
        <color rgb="FF000000"/>
        <rFont val="Calibri"/>
        <family val="2"/>
        <scheme val="minor"/>
      </rPr>
      <t>Cross Connection Control Program Specialist training, Los Angeles, CA</t>
    </r>
  </si>
  <si>
    <r>
      <rPr>
        <b/>
        <u/>
        <sz val="9"/>
        <rFont val="Calibri"/>
        <family val="2"/>
        <scheme val="minor"/>
      </rPr>
      <t xml:space="preserve">Justification: </t>
    </r>
    <r>
      <rPr>
        <sz val="9"/>
        <rFont val="Calibri"/>
        <family val="2"/>
        <scheme val="minor"/>
      </rPr>
      <t xml:space="preserve">
</t>
    </r>
    <r>
      <rPr>
        <sz val="9"/>
        <color indexed="10"/>
        <rFont val="Calibri"/>
        <family val="2"/>
        <scheme val="minor"/>
      </rPr>
      <t xml:space="preserve">Who will be traveling, when and why, tie into program objective(s) or indicate required by funder. </t>
    </r>
  </si>
  <si>
    <r>
      <t xml:space="preserve">Justification: </t>
    </r>
    <r>
      <rPr>
        <sz val="9"/>
        <rFont val="Calibri"/>
        <family val="2"/>
        <scheme val="minor"/>
      </rPr>
      <t>Health Educators and CHW will travel to conduct community outreach, meet with program partners, program implementation sites, attend coalition meetings, and other project related travel.</t>
    </r>
  </si>
  <si>
    <r>
      <rPr>
        <b/>
        <u/>
        <sz val="9"/>
        <rFont val="Calibri"/>
        <family val="2"/>
        <scheme val="minor"/>
      </rPr>
      <t xml:space="preserve">Justification: </t>
    </r>
    <r>
      <rPr>
        <b/>
        <i/>
        <sz val="9"/>
        <color rgb="FFFF0000"/>
        <rFont val="Calibri"/>
        <family val="2"/>
        <scheme val="minor"/>
      </rPr>
      <t>Need justification</t>
    </r>
  </si>
  <si>
    <r>
      <t>Justification:</t>
    </r>
    <r>
      <rPr>
        <i/>
        <sz val="9"/>
        <rFont val="Calibri"/>
        <family val="2"/>
        <scheme val="minor"/>
      </rPr>
      <t xml:space="preserve"> </t>
    </r>
    <r>
      <rPr>
        <i/>
        <sz val="9"/>
        <color indexed="10"/>
        <rFont val="Calibri"/>
        <family val="2"/>
        <scheme val="minor"/>
      </rPr>
      <t xml:space="preserve">Provide narrative to justify purchase of meals, snacks, large expense or unusual budget items.  Include details how budget item supports deliverables of the project. </t>
    </r>
    <r>
      <rPr>
        <b/>
        <i/>
        <sz val="9"/>
        <color rgb="FFFF0000"/>
        <rFont val="Calibri"/>
        <family val="2"/>
        <scheme val="minor"/>
      </rPr>
      <t>Need justification</t>
    </r>
    <r>
      <rPr>
        <i/>
        <sz val="9"/>
        <color indexed="10"/>
        <rFont val="Calibri"/>
        <family val="2"/>
        <scheme val="minor"/>
      </rPr>
      <t xml:space="preserve"> - JCM 12/19/22</t>
    </r>
  </si>
  <si>
    <t>Huron Consulting Service</t>
  </si>
  <si>
    <t>sole source, professional services</t>
  </si>
  <si>
    <t>Mar 1, 2023 - Nov 10, 2023</t>
  </si>
  <si>
    <t>Launch and gather strategic information from leadership and other stakeholders. Establish strategic priorities through facilitation of leadership meetings. Deploy new strategy with accountability and measures. Dialogs and artifacts produced regarding strategic issues, environmental scan, competitive analysis, customer segments, SWOT analysis and key focus areas. Key stakeholders are prepared to lead their sections. Top 2-3 strategic prioriites are identified. Organizational goals are set, cascaded, and ready to measure. Progress review timing established.</t>
  </si>
  <si>
    <t xml:space="preserve">Proprietary facilitation methods and experience delivering this type of project across industries with specialization in HRSA-certified agencies similar to this one. </t>
  </si>
  <si>
    <t>Budget:</t>
  </si>
  <si>
    <t>Consulting</t>
  </si>
  <si>
    <r>
      <rPr>
        <b/>
        <u/>
        <sz val="9"/>
        <rFont val="Calibri"/>
        <family val="2"/>
        <scheme val="minor"/>
      </rPr>
      <t>Method of Accountability:</t>
    </r>
    <r>
      <rPr>
        <sz val="9"/>
        <rFont val="Calibri"/>
        <family val="2"/>
        <scheme val="minor"/>
      </rPr>
      <t xml:space="preserve"> </t>
    </r>
  </si>
  <si>
    <t xml:space="preserve">HR Manager (OD) measures delivery of contracted items in the scope of work. </t>
  </si>
  <si>
    <r>
      <t>Scope of Work:</t>
    </r>
    <r>
      <rPr>
        <b/>
        <sz val="9"/>
        <color rgb="FF000000"/>
        <rFont val="Calibri"/>
        <family val="2"/>
        <scheme val="minor"/>
      </rPr>
      <t xml:space="preserve"> </t>
    </r>
  </si>
  <si>
    <t>Sole source method, not needed for competitive bid</t>
  </si>
  <si>
    <t>Method of Accountability:</t>
  </si>
  <si>
    <t xml:space="preserve">Employee progress and participation will be overseen by the HR Business Partner and reports of trained staff will be reported out quarterly. Contractor will provide various assessment and comparision reports, which will be used to evaluate and implement changes in the workplace to improve understanding and performance to meet established SNHD goals, standard operating procedures, and compliance </t>
  </si>
  <si>
    <t xml:space="preserve">Implementation, platform confirguration, and training progress and participation will be overseen by the HRIS Training Analyst and reports of trained staff will be reported out quarterly. Contractor will provide implementatio and training support, which will be used to evaluate and implement changes of SNHD standard operating procedures and provide ability for numerous analytical and assessment reports District-wide.  </t>
  </si>
  <si>
    <t>Sole source</t>
  </si>
  <si>
    <t>Jan 1, 2023 - December 29, 2027</t>
  </si>
  <si>
    <t>Engagement survey management: To develop, implement and analyze surveys by sixseconds.org.  Provide coaching and counseling support as needed. Surveys will be conducted every year for 5 years. 
Strategy A1, Key Activity (KA)3-Expanding engagement with the workforce to address their mental, emotional, and physical well-being (measuring engagement, motivation, teamwork, ability to change, and trust as key metrics will allow the agency to implement interventions over time to have a positive impact on the workforce)</t>
  </si>
  <si>
    <t>This vendor has specialized and proprietary assessments that tie organizational competencies to individual leaders and their teams. These comparisons will allow targeted interventions for higher performance and solid measurement.</t>
  </si>
  <si>
    <t>Survey and administration</t>
  </si>
  <si>
    <t>Human Resources Manager (OD) will monitor execution and interpretation of results from the contractor. Survey results will be collated into a report to be briefed and interpreted to leadership and the workforce at large each year.</t>
  </si>
  <si>
    <t>sole source</t>
  </si>
  <si>
    <t>Mar 1, 2023 - December 29, 2027</t>
  </si>
  <si>
    <t>Conduct 22 EQ Leadership  Development and Coaching assessment package at @ $700/leader including LVS360 survey, SEI Leadership psychometric, Brain Profile and feedback session. Conduct 8 Team Vital Signs assessments and feedback session for leader and group at $1,500 per team.Assessments and coaching will set a basepoint and infer interventions to improve leader and team performance against competencies of motivation, execution, ability to change, teamwork and trust.  
Strategy A1: KA4-Train public health staff (measure leadership competencies against emotional intelligence and metrics of Motivation, Execution, Ability to change, Teamwork, and Trust), KA5-collect and use workforce data (using data mentioned previously as benchmarks to monitor over time).</t>
  </si>
  <si>
    <t>Assessments &amp; Coaching Services</t>
  </si>
  <si>
    <t>Total Budget:</t>
  </si>
  <si>
    <r>
      <rPr>
        <b/>
        <u/>
        <sz val="9"/>
        <rFont val="Calibri"/>
        <family val="2"/>
        <scheme val="minor"/>
      </rPr>
      <t>Method of Accountability:</t>
    </r>
    <r>
      <rPr>
        <u/>
        <sz val="9"/>
        <rFont val="Calibri"/>
        <family val="2"/>
        <scheme val="minor"/>
      </rPr>
      <t xml:space="preserve"> </t>
    </r>
  </si>
  <si>
    <t>Human Resources Manager (OD) will monitor execution and interpretation of results from the contractor against metrics in the Vital Signs suite of tools increasing post-intervention metrics in Motivation, Execution, Ability to change. Teamwork, and Trust.</t>
  </si>
  <si>
    <t xml:space="preserve">Name of Contractor or Subrecipient: </t>
  </si>
  <si>
    <t>PeolpeTek Coaching</t>
  </si>
  <si>
    <r>
      <t>Method of Selection:</t>
    </r>
    <r>
      <rPr>
        <b/>
        <sz val="9"/>
        <rFont val="Calibri"/>
        <family val="2"/>
        <scheme val="minor"/>
      </rPr>
      <t xml:space="preserve"> </t>
    </r>
  </si>
  <si>
    <t xml:space="preserve">Sole source </t>
  </si>
  <si>
    <t>Mar 1, 2023 - December 29, 2025</t>
  </si>
  <si>
    <t>Group Leadership Coaching with assessments over 6 mos. Group coaching for driving execution of defined leadership competencies. Conduct 12 virtual workshops over 24 weeks with agency leader-participants being part of public coaching cohorts. 18 leaders will participate over years 1 through 3. Pre and post evaluations will take place for every learning event (virtual and in-person) in addition to multiple validated assessments. Strategy 1, KA4: improving the quality and scope of training and professional development opportunities (individual assessments with group coaching and learning to apply new skills and solve for competency and mindset gaps). Strategy 2, KA1 (Strengthen accountability/Performance management) Vendor measures performance pre and post.</t>
  </si>
  <si>
    <t xml:space="preserve">Sole Source Justification:  </t>
  </si>
  <si>
    <t>Professional services with proprietary curriculum for virtual group coaching and learning through individual assessments for improved leadership results.</t>
  </si>
  <si>
    <t># of Particpants</t>
  </si>
  <si>
    <t>Year 1 coaching fees</t>
  </si>
  <si>
    <t>Year 2 coaching fees</t>
  </si>
  <si>
    <t>Year 3 coaching fees</t>
  </si>
  <si>
    <t>Year 4 coaching fees</t>
  </si>
  <si>
    <t>Year 5 coaching fees</t>
  </si>
  <si>
    <t xml:space="preserve">HR manager (OD) monitors progress through communication with vendor.  Particpants will be measured against a control group of other agency leaders using the TVS and 360 assessments in the Leadership Development and Coaching package from Michele Royan in this budget. </t>
  </si>
  <si>
    <t>6seconds.org</t>
  </si>
  <si>
    <t>Mar 1, 2023 - Dec 29, 2025</t>
  </si>
  <si>
    <t>Certify 2 SEI (Six Seconds Emotional Intelligence) Assessors to facilitate and present workshops and purchase online and physical tools for this program from the vendor.</t>
  </si>
  <si>
    <t>Professional services and proprietary Level B psychometric assessments requiring debriefs from properly trained and certified assessor/facilitators. Only licensed facilitators can purchase and adminster these assessments.</t>
  </si>
  <si>
    <t>Facilitator training and certification</t>
  </si>
  <si>
    <t>HR Manager monitors Level 1 assessment scores and qualitative feedback from learners in workshops facilitated by the newly trained facilitators.</t>
  </si>
  <si>
    <t>LIFO dba BCON</t>
  </si>
  <si>
    <t>Certify 2 facilitators to present LIFO workshops and purchase online and physical tools for this program.</t>
  </si>
  <si>
    <t>Professional services through proprietary and validated psychometric assessments supplemented by expert training in facilitation and understanding of these assessments.</t>
  </si>
  <si>
    <t xml:space="preserve">UNR School of PH (NVPHTC) Leadership training design </t>
  </si>
  <si>
    <t>Mar 1, 2023 - Dec 29, 2027</t>
  </si>
  <si>
    <t>Design and Facilitation- Leadership Development. Trainig virtually and on-site based on formal needs assessment. A1, KA 3,4, 5: support and sustain workforce through stronger engagement &amp; well-being, train new and existing staff, workforce and planning systems and processes.</t>
  </si>
  <si>
    <t>Professional services provided by the non-profit, school of public health in the state university system. Their expertise and state agency status uniquely qualify them for this role.</t>
  </si>
  <si>
    <t>Negotiated rate for design and facilitation of training</t>
  </si>
  <si>
    <t>HR Manager monitors Kirkpatrick Level 1 and 2 assessment scores and qualitative feedback from leadership and users, in addition to analytical reporting from LMS on number and type of help tickets produced.</t>
  </si>
  <si>
    <t>Pearls of Wisdom Consulting</t>
  </si>
  <si>
    <t xml:space="preserve">sole source, professional services </t>
  </si>
  <si>
    <t>Re-Accreditation consulting for annual reports and final submission for re-Accreditation in 2027 A1, KA 5: workforce and planning systems and processes.</t>
  </si>
  <si>
    <t>Professional services through years of expreience working for PHAB and consulting with other PH agencies on successful accrediation and reaccreditation. 
Vendor uses proprietary methods to evaluate documentation against PHAB guidelines.</t>
  </si>
  <si>
    <t>Hourly Consulting Fees</t>
  </si>
  <si>
    <t>HR Manager (OD) and Accreditation Coordinator collaborate to operationalize feedback from consultant, and test by submitting annual reports and Reaccreditation materials to PHAB. Consultant guidance must match PHAB approval for reportable documentation annually.</t>
  </si>
  <si>
    <t>Alchemer</t>
  </si>
  <si>
    <t>sole source, professional services (on file)</t>
  </si>
  <si>
    <t>Scope of Work: Survey tool allowing annonymized reporting. 2 accounts for continuity times 5 years. A1, KA 3, 5: support and sustain workforce and planning systems and processes.</t>
  </si>
  <si>
    <t>Professional services through proprietary software to administer and report surveys in an anonymized fashion.</t>
  </si>
  <si>
    <t>Annual subscription fess for 2 users</t>
  </si>
  <si>
    <r>
      <rPr>
        <b/>
        <u/>
        <sz val="9"/>
        <color rgb="FF000000"/>
        <rFont val="Calibri"/>
        <family val="2"/>
        <scheme val="minor"/>
      </rPr>
      <t>Method of Accountability:</t>
    </r>
    <r>
      <rPr>
        <sz val="9"/>
        <color indexed="8"/>
        <rFont val="Calibri"/>
        <family val="2"/>
        <scheme val="minor"/>
      </rPr>
      <t xml:space="preserve"> </t>
    </r>
  </si>
  <si>
    <t>Tool allows continued anonymized surveys to remove DEI-related barriers and encourage more participation across the population.</t>
  </si>
  <si>
    <t>Gorenflo Consulting</t>
  </si>
  <si>
    <t>Quality Improvement consulting A1. Supports QI initiatives across agency &lt;less&gt; work by the dedicated QI Coordinator for the FQHC. Provide support for current and future QI projects and spend time virtually and on-site to seek and evaluate new and meaningful projects to include projects submitted for PHAB Reaccrediation. Strategy 1, KA5: Strenghten workforce planning, systems, processes and policies. This project has Strategy A2 components listed in the section below.</t>
  </si>
  <si>
    <t xml:space="preserve">Professional services-and proprietary methods of designing and reporting results of QI projects. Her specialization in nursing and healthcare QI and relation to PHAB Accreditation are paramount to the contributions of her work. </t>
  </si>
  <si>
    <t>CONSULTING</t>
  </si>
  <si>
    <t>TRAVEL</t>
  </si>
  <si>
    <t>Human Resources Manager (OD) collaborating with QI Counicl and QI project contributors will monitor execution from the contractor.</t>
  </si>
  <si>
    <t xml:space="preserve">Quality Improvement consulting A1. Supports QI initiatives across agency &lt;less&gt; work by the dedicated QI Coordinator for the FQHC. Provide support for current and future QI projects and spend time virtually and on-site to seek and evaluate new and meaningful projects to include projects submitted for PHAB Reaccrediation. Strategy 1, KA5: Strenghten workforce planning, systems, processes and policies. </t>
  </si>
  <si>
    <t>No less than 2 QI projects reported to Board of Health each quarter and satisfactory review by the QI Council and PHAB for purposes of reaccreditation.</t>
  </si>
  <si>
    <t>Name of Contractor:</t>
  </si>
  <si>
    <t>Sole source or competitive bid:</t>
  </si>
  <si>
    <t xml:space="preserve">Define scope of work
What will be the specific services/tasks that will be completed and specific deliverables. How do deliverables relate to your goals and objectives, how will deliverables achieve your objective(s).  </t>
  </si>
  <si>
    <t>SoleSole source method, not needed for competitive bid</t>
  </si>
  <si>
    <t>Define - Describe how the progress and performance of the consultant will be monitored.  Identify who is responsible for supervising the consultant's work.</t>
  </si>
  <si>
    <t>November 1, 2022 - October 31, 2027</t>
  </si>
  <si>
    <r>
      <t>Scope of Work:</t>
    </r>
    <r>
      <rPr>
        <b/>
        <sz val="9"/>
        <color rgb="FF000000"/>
        <rFont val="Calibri"/>
        <family val="2"/>
        <scheme val="minor"/>
      </rPr>
      <t xml:space="preserve">
</t>
    </r>
  </si>
  <si>
    <t>Partnerships to be developed with new community partners to implement health equity strategies to provide or expand services and assistance to individuals within specific racial, age, income, ethnicity, geographic or literacy level indications for focused interventions. Key activity A2.5, St. 5.2.</t>
  </si>
  <si>
    <t xml:space="preserve">Sole Source Justification: </t>
  </si>
  <si>
    <r>
      <t xml:space="preserve">Method of Accountability:
</t>
    </r>
    <r>
      <rPr>
        <b/>
        <sz val="9"/>
        <rFont val="Calibri"/>
        <family val="2"/>
        <scheme val="minor"/>
      </rPr>
      <t xml:space="preserve">Define - </t>
    </r>
    <r>
      <rPr>
        <b/>
        <sz val="9"/>
        <color indexed="10"/>
        <rFont val="Calibri"/>
        <family val="2"/>
        <scheme val="minor"/>
      </rPr>
      <t>Describe how the progress and performance of the consultant will be monitored.  Identify who is responsible for supervising the consultant's work.</t>
    </r>
  </si>
  <si>
    <t>December 1, 2022-November 30, 2027</t>
  </si>
  <si>
    <t>Together We Can is a local organization that strives to bring together diverse partners to help increase access to healthier food, nutrition and wellness education for vulnerable communities.  They are the organization that runs the federally-funded Double Up Food Bucks program - a nutrition incentive program for SNAP users. They have YEARs of experience running the Double Up Food Bucks program and are the only organization in Southern Nevada operating a nutrition incentive program.</t>
  </si>
  <si>
    <t>Together We Can is a local organization that strives to bring together diverse partners to help increase access to healthier food, nutrition and wellness education for vulnerable communities.  They are the organization that runs the federally-funded Double Up Food Bucks program - a nutrition incentive program for SNAP users. They have years of experience running the Double Up Food Bucks program and are the only organization in Southern Nevada operating a nutrition incentive program.</t>
  </si>
  <si>
    <r>
      <t xml:space="preserve">Operating: To include funding for the nutrition incentives </t>
    </r>
    <r>
      <rPr>
        <sz val="9"/>
        <rFont val="Calibri"/>
        <family val="2"/>
        <scheme val="minor"/>
      </rPr>
      <t>($144,231)</t>
    </r>
    <r>
      <rPr>
        <sz val="9"/>
        <color rgb="FFFF0000"/>
        <rFont val="Calibri"/>
        <family val="2"/>
        <scheme val="minor"/>
      </rPr>
      <t xml:space="preserve"> </t>
    </r>
    <r>
      <rPr>
        <sz val="9"/>
        <color rgb="FF000000"/>
        <rFont val="Calibri"/>
        <family val="2"/>
        <scheme val="minor"/>
      </rPr>
      <t>marketing and promotional materials ($2,000) and office supplies and other program materials ($5,491)</t>
    </r>
  </si>
  <si>
    <t xml:space="preserve"> SNHD CDPHP will maintain monthly communication with Together We Can staff. SNHD will develop a monthly reporting template which Together We Can will complete and submit each month. SNHD will review progress towards goals and objectives and provide technical assistance to identify solutions to barriers.  SNHD CDPHP leadership will review RFRs submitted by Together We Can for accuracy and track against workplan progress.</t>
  </si>
  <si>
    <t>Clark County School District (CCSD)</t>
  </si>
  <si>
    <t>To strengthen systems, processes and policies that support BMI data collection, physical activity and active transportation at CCSD schools to ensure that children can walk and bike to school safely. SNHD CDPHP will partner with CCSD to support height and weight data collection for the purposes of providing BMI surveillence data in elementary and middle schools through the purchase of supplies and support the  Safe Routes to Schools Programs (SRTS). In YEAR 1, CCSD will: 
*Secure supplies to support BMI data collection in CCSD schools.
*Conduct assessment of schools currently participating in SRTS to identify SRTS liaisons for 2023-2024 school YEAR.
*Train at least 25 existing schools on subjects such as SRTS program planning, program implementation, promotion, etc. 
*Purchase supplies to support SRTS programs in new and existing schools. 
*Recruit at least 5 new schools to participate in the SRTS program. 
*Expand the number of schools in the SRTS Achievement Level Program by five.  
Key Activity A2.5, St. 5.2</t>
  </si>
  <si>
    <t>CCSD is the public school district in Southern Nevada and the fifth largest in the nation. CCSD is legislalively tasked with collection of BMI data in schools. Further, CCSD operates the Safe Routes to School program at CCSD.  There is not another organization that can operate Safe Routes to Schools programming in CCSD schools.  CCSD has experience with Safe Routes to School programming and the ability to communicate directly with schools and Safe Routes to Schools liaisons.</t>
  </si>
  <si>
    <t>SNHD CDPHP will maintain monthly communication with CCSD SRTS staff.  SNHD will develop a monthly reporting template which CCSD will complete and submit each month.  SNHD will review progress towards goals. CDPHP program leadership will review RFRs submitted by CCSD for accuracy and track against workplan progress.</t>
  </si>
  <si>
    <t>6Seconds.org Emotional Intelligence and positive psychology materials. These include SixSeconds.org assessments and psychometrics including SEI (Six Seconds Emotional Intellingence) assessments, SEI 360 assessments, TVS (Team Vital Signs) and TVS 360 assessments, dashboards to view team strengths and challenges in measured competencies and Brain Talent Profile Assessments for individual and team workshops.
Supporting Strategy A1, KA 3 (strengthening workplace wellbeing progrms and expanding engagement in with the workforce to adress their mental, emotional, and physical wellbeing.) KA4: Train new and existing staff
Method of Acountability: Utilize assessments for pre and post measurement to assess effectiveness of workshops and related programs</t>
  </si>
  <si>
    <t>Materials</t>
  </si>
  <si>
    <t>Assessments for individuals and teams</t>
  </si>
  <si>
    <t>LIFO (Life Orientations) workshops and operational tools to expose the entire workforce to this self-awareness and team development tool. Methodology employs a 4-quadrant model of behavioral styles that match to kinesthetic tools as takeaways to aid in communication with different behavioral types.
Supporting Strategy A1, KA 3 (strengthening workplace wellbeing progrms and expanding engagement in with the workforce to adress their mental, emotional, and physical wellbeing.) KA4: Train new and existing staff
Acountability: build qualitative and quatitative assessments presented pre and post-workshops to assess progress in Key Activities noted above.
Sole Source Justification: proprietary and validated psychometric assessments supplemented by expert training in facilitation and understanding of these assessments.</t>
  </si>
  <si>
    <t>Paper/online assessments and job aids</t>
  </si>
  <si>
    <t>JUSTIFICATION:</t>
  </si>
  <si>
    <t>ALL-HANDS MEETING $25K ANNUALLY FOR 5 YEARS</t>
  </si>
  <si>
    <t>Justification:  $25,000 annually towards All-Hands workforce meeting focused on retention with a health equity lense.</t>
  </si>
  <si>
    <t>PLUG</t>
  </si>
  <si>
    <r>
      <t xml:space="preserve">Justification: </t>
    </r>
    <r>
      <rPr>
        <i/>
        <sz val="9"/>
        <rFont val="Calibri"/>
        <family val="2"/>
        <scheme val="minor"/>
      </rPr>
      <t xml:space="preserve"> </t>
    </r>
    <r>
      <rPr>
        <i/>
        <sz val="9"/>
        <color indexed="10"/>
        <rFont val="Calibri"/>
        <family val="2"/>
        <scheme val="minor"/>
      </rPr>
      <t>Include narrative to justify any special budget line items included in this category, such as stipends, scholarships, marketing brochures or public information.  Tie budget piece to project deliverable.</t>
    </r>
  </si>
  <si>
    <r>
      <rPr>
        <b/>
        <sz val="9"/>
        <rFont val="Calibri"/>
        <family val="2"/>
        <scheme val="minor"/>
      </rPr>
      <t>Indirect Methodology</t>
    </r>
    <r>
      <rPr>
        <sz val="9"/>
        <rFont val="Calibri"/>
        <family val="2"/>
        <scheme val="minor"/>
      </rPr>
      <t xml:space="preserve">: </t>
    </r>
    <r>
      <rPr>
        <sz val="9"/>
        <color indexed="10"/>
        <rFont val="Calibri"/>
        <family val="2"/>
        <scheme val="minor"/>
      </rPr>
      <t>10% indirect is charged</t>
    </r>
  </si>
  <si>
    <t>TOTAL</t>
  </si>
  <si>
    <t>Click here to go to an example of how to add extra employee rows</t>
  </si>
  <si>
    <t>*Do not delete this row. Grey row used to maintain range of total formulas when contractor rows are added/deleted</t>
  </si>
  <si>
    <t>Click here to go to an example of how to add extra contractor rows</t>
  </si>
  <si>
    <t>Printing Services:  $ amount/mo. x 12 months</t>
  </si>
  <si>
    <t>Copier/Printer Lease: $ amount x 12 months</t>
  </si>
  <si>
    <t>Property and Contents Insurance per year</t>
  </si>
  <si>
    <t>Other Utilities: $ per quarter</t>
  </si>
  <si>
    <t>Postage: $ per mo. x 12 months</t>
  </si>
  <si>
    <t>State Phone Line: $ per mo. x 12 months x # 0f FTE</t>
  </si>
  <si>
    <t>Voice Mail: $ per mo. x 12 months x # of FTE</t>
  </si>
  <si>
    <t>Conference Calls: $ per mo. x 12 months</t>
  </si>
  <si>
    <t>Long Distance: $ per mo. x 12 months</t>
  </si>
  <si>
    <t>Email:  $ per mo. x 12 months x # of FTE</t>
  </si>
  <si>
    <t>Operating</t>
  </si>
  <si>
    <t>Rapid Hepatitis C Kits: 400 tests x $18.50</t>
  </si>
  <si>
    <t>Rapid Hepatitis C Controls: 3 tests x $35</t>
  </si>
  <si>
    <t>Serum Hepatitis C Confirmation Tests: 58 tests x $96.33</t>
  </si>
  <si>
    <t>Equipment</t>
  </si>
  <si>
    <t>Training</t>
  </si>
  <si>
    <t>Form 2</t>
  </si>
  <si>
    <r>
      <t xml:space="preserve">PROPOSED BUDGET SUMMARY
</t>
    </r>
    <r>
      <rPr>
        <sz val="9"/>
        <color indexed="10"/>
        <rFont val="Arial"/>
        <family val="2"/>
      </rPr>
      <t>(Form Revised May 2019)</t>
    </r>
  </si>
  <si>
    <t>A.</t>
  </si>
  <si>
    <t>PATTERN BOXES ARE FORMULA DRIVEN - DO NOT OVERIDE - SEE INSTRUCTIONS</t>
  </si>
  <si>
    <t>FUNDING SOURCES</t>
  </si>
  <si>
    <t>GMU</t>
  </si>
  <si>
    <t>Other Funding</t>
  </si>
  <si>
    <t>Program Income</t>
  </si>
  <si>
    <t xml:space="preserve"> SECURED</t>
  </si>
  <si>
    <t>ENTER TOTAL REQUEST</t>
  </si>
  <si>
    <t>EXPENSE CATEGORY</t>
  </si>
  <si>
    <t xml:space="preserve">Personnel </t>
  </si>
  <si>
    <t xml:space="preserve">Contractual/Consultant </t>
  </si>
  <si>
    <t>Other Expenses</t>
  </si>
  <si>
    <t xml:space="preserve">Indirect </t>
  </si>
  <si>
    <t>TOTAL EXPENSE</t>
  </si>
  <si>
    <t>These boxes should equal 0</t>
  </si>
  <si>
    <t>Total Indirect Cost</t>
  </si>
  <si>
    <t>Total Agency Budget</t>
  </si>
  <si>
    <t>Percent of Subrecipient Budget</t>
  </si>
  <si>
    <t>B.  Explain any items noted as pending:</t>
  </si>
  <si>
    <t>C.  Program Income Calculation:</t>
  </si>
  <si>
    <t>Add/Remove employee rows</t>
  </si>
  <si>
    <t>Add an employee</t>
  </si>
  <si>
    <t>1.</t>
  </si>
  <si>
    <t>Select/highlight the 3 rows of another employee currently in the budget (1st row is the header row of employee information [row 7 of screenshot], 2nd row is the employee information [row 8 of screenshot], 3rd is the employee narrative [row 9 of screenshot]).</t>
  </si>
  <si>
    <t>Screenshot</t>
  </si>
  <si>
    <t>2.</t>
  </si>
  <si>
    <t>Copy the 3 highlighted rows. This can be done by pressing “CTRL” + “C” or right clicking the highlighted rows and left clicking copy on the menu.</t>
  </si>
  <si>
    <t>3.</t>
  </si>
  <si>
    <t>Right click 1 row below what you just copied (row 10 in screenshot below), and left click “Insert Copied Cells”. This will insert 3 rows of an exact copy of your previous 3 row selection. This ensures all formulas are exactly copied and pasted, plus ensures all sum or sumproduct formulas for personnel/fringe total expand WITH your new employee data.</t>
  </si>
  <si>
    <t>4.</t>
  </si>
  <si>
    <r>
      <t xml:space="preserve">Screenshot below is example of the final result. Two employee sections of the same information and formulas that followed/expanded without any additional edits. </t>
    </r>
    <r>
      <rPr>
        <b/>
        <sz val="10"/>
        <rFont val="Arial"/>
        <family val="2"/>
      </rPr>
      <t>Modify the second employee area to account for the name/position/pay etc… changes of the new employee area.</t>
    </r>
  </si>
  <si>
    <t>Remove an employee</t>
  </si>
  <si>
    <t>Highlight the 3 rows of employee data you want to delete (1st row is the header row of employee information [row 10 of screenshot], 2nd row is the employee information [row 11 of screenshot], 3rd row is the employee narrative [row 12 of screenshot]).</t>
  </si>
  <si>
    <t>Press "CTRL" + "-" or right click the rows then left click “Delete”.</t>
  </si>
  <si>
    <t>Add/Remove contractor rows</t>
  </si>
  <si>
    <t>Add a contractor</t>
  </si>
  <si>
    <t>Highlight/Select the row below the "Method of Accountability" row of the previous contractor (row 75 of screenshot). Add a new row by pressing "CTRL" + "+" or right clicking the highlighted row then and left clicking "Insert".</t>
  </si>
  <si>
    <t>Select/highlight the 10 rows of another contractor currently in the budget (1st row is the  row with contractor name and "total" [row 65 of screenshot], 10th row is the "Method of Accountability" row [row 74 of screenshot]).</t>
  </si>
  <si>
    <r>
      <t xml:space="preserve">Right click 1 row below the blank row you just added (row 76 of the screenshot) then right click "Insert Copied Cells". </t>
    </r>
    <r>
      <rPr>
        <b/>
        <sz val="10"/>
        <rFont val="Arial"/>
        <family val="2"/>
      </rPr>
      <t>Update the information for the new contractor.</t>
    </r>
  </si>
  <si>
    <t>Remove a contractor</t>
  </si>
  <si>
    <t>Select/highlight the 11 rows of the contractor (the 1st row is the blank row above the contractor's name [row 75 of screenshot], the 11th row is the "Method of Accountability" row [row 85 of screenshot]). Press "CTRL" + - or righ click the highlighted area and left click "Delete"</t>
  </si>
  <si>
    <t>Add contractor line item</t>
  </si>
  <si>
    <t>Highlight/select the row that says "Travel" (row 72 of screenshot). Add a new row by pressing "CTRL" + "+" or right click the highlighted area then left click "Insert"</t>
  </si>
  <si>
    <t>Highlight/Select the new blank row (row 72 of screenshot)</t>
  </si>
  <si>
    <t>Copy the data from the row above by pressing "CTRL" + "D"</t>
  </si>
  <si>
    <t>Update the category title and amount. Repeat as needed. Adding line items this way ensures that all sum formulas expand with the new data and all new line items retain the same format.</t>
  </si>
  <si>
    <t>Position Type?</t>
  </si>
  <si>
    <t>Type</t>
  </si>
  <si>
    <t>Yes</t>
  </si>
  <si>
    <t>No</t>
  </si>
  <si>
    <t>Budget Summary</t>
  </si>
  <si>
    <t>Column</t>
  </si>
  <si>
    <t>Col A</t>
  </si>
  <si>
    <t>Col B</t>
  </si>
  <si>
    <t>Col C</t>
  </si>
  <si>
    <t>Col D</t>
  </si>
  <si>
    <t>Col E</t>
  </si>
  <si>
    <t>Col F</t>
  </si>
  <si>
    <t>Col G</t>
  </si>
  <si>
    <t>Col H</t>
  </si>
  <si>
    <t>Col I</t>
  </si>
  <si>
    <t>Col J</t>
  </si>
  <si>
    <t>Ideal width</t>
  </si>
  <si>
    <t>Current</t>
  </si>
  <si>
    <t>Difference</t>
  </si>
  <si>
    <t>Result</t>
  </si>
  <si>
    <t>Click on cell and press "F2" to ensure current width is recalculated</t>
  </si>
  <si>
    <t>Budget Narrative</t>
  </si>
  <si>
    <t>Who will travel and why</t>
  </si>
  <si>
    <t>Justification:</t>
  </si>
  <si>
    <t>Position | Name if filled</t>
  </si>
  <si>
    <t>Justification: *Insert details to describe position duties as it relates to the funding (specific program objectives)</t>
  </si>
  <si>
    <t>Total Budgeted FTE:</t>
  </si>
  <si>
    <t>Double check formula and revise as needed to include costs of multiple trips</t>
  </si>
  <si>
    <t>Justification: Provide narrative to justify purchase of meals, snacks, large expense or unusual budget items.  Include details how budget item supports deliverables of the project.</t>
  </si>
  <si>
    <t>Operating Total:</t>
  </si>
  <si>
    <t xml:space="preserve"> explain, i.e. sole source or competitive bid</t>
  </si>
  <si>
    <t xml:space="preserve">Define scope of work
What will be the specific services/tasks that will be completed and specific deliverables. How do deliverables relate to your goals and objectives, how will deliverables achieve your objective(s).  </t>
  </si>
  <si>
    <t>Contractual Total:</t>
  </si>
  <si>
    <t>Equipment Total:</t>
  </si>
  <si>
    <t>Describe Training</t>
  </si>
  <si>
    <t>Training Total:</t>
  </si>
  <si>
    <t>Name</t>
  </si>
  <si>
    <t>Position |  Name</t>
  </si>
  <si>
    <t>Personnel Total Cost:</t>
  </si>
  <si>
    <t>Other Total:</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</si>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</sst>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000_);\(&quot;$&quot;#,##0.000\)"/>
    <numFmt numFmtId="166" formatCode="0.0"/>
    <numFmt numFmtId="167" formatCode="_(&quot;$&quot;* #,##0_);_(&quot;$&quot;* \(#,##0\);_(&quot;$&quot;* &quot;-&quot;??_);_(@_)"/>
    <numFmt numFmtId="168" formatCode="&quot;$&quot;#,##0"/>
    <numFmt numFmtId="169" formatCode="0.000%"/>
    <numFmt numFmtId="170" formatCode="0.00000"/>
    <numFmt numFmtId="171" formatCode="_([$$-409]* #,##0.00_);_([$$-409]* \(#,##0.00\);_([$$-409]* &quot;-&quot;??_);_(@_)"/>
  </numFmts>
  <fonts count="8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u/>
      <sz val="10"/>
      <color indexed="12"/>
      <name val="Arial"/>
      <family val="2"/>
    </font>
    <font>
      <b/>
      <sz val="10"/>
      <name val="Arial"/>
      <family val="2"/>
    </font>
    <font>
      <sz val="10"/>
      <name val="Arial"/>
      <family val="2"/>
    </font>
    <font>
      <i/>
      <sz val="12"/>
      <name val="Arial"/>
      <family val="2"/>
    </font>
    <font>
      <sz val="11"/>
      <name val="Calibri"/>
      <family val="2"/>
    </font>
    <font>
      <b/>
      <sz val="9"/>
      <name val="Arial"/>
      <family val="2"/>
    </font>
    <font>
      <b/>
      <u/>
      <sz val="9"/>
      <name val="Arial"/>
      <family val="2"/>
    </font>
    <font>
      <sz val="9"/>
      <name val="Arial"/>
      <family val="2"/>
    </font>
    <font>
      <sz val="9"/>
      <color indexed="10"/>
      <name val="Arial"/>
      <family val="2"/>
    </font>
    <font>
      <u/>
      <sz val="9"/>
      <name val="Arial"/>
      <family val="2"/>
    </font>
    <font>
      <b/>
      <i/>
      <sz val="9"/>
      <name val="Arial"/>
      <family val="2"/>
    </font>
    <font>
      <sz val="9"/>
      <name val="Times New Roman"/>
      <family val="1"/>
    </font>
    <font>
      <u/>
      <sz val="9"/>
      <color indexed="12"/>
      <name val="Arial"/>
      <family val="2"/>
    </font>
    <font>
      <sz val="8"/>
      <name val="Arial"/>
      <family val="2"/>
    </font>
    <font>
      <sz val="9"/>
      <color indexed="81"/>
      <name val="Tahoma"/>
      <family val="2"/>
    </font>
    <font>
      <b/>
      <sz val="9"/>
      <color indexed="81"/>
      <name val="Tahoma"/>
      <family val="2"/>
    </font>
    <font>
      <sz val="11"/>
      <color theme="1"/>
      <name val="Calibri"/>
      <family val="2"/>
      <scheme val="minor"/>
    </font>
    <font>
      <b/>
      <sz val="10"/>
      <color rgb="FFFF0000"/>
      <name val="Arial"/>
      <family val="2"/>
    </font>
    <font>
      <sz val="9"/>
      <color theme="1"/>
      <name val="Times New Roman"/>
      <family val="1"/>
    </font>
    <font>
      <sz val="8"/>
      <name val="Arial"/>
      <family val="2"/>
    </font>
    <font>
      <sz val="8"/>
      <color theme="1"/>
      <name val="Arial"/>
      <family val="2"/>
    </font>
    <font>
      <b/>
      <sz val="8"/>
      <name val="Arial"/>
      <family val="2"/>
    </font>
    <font>
      <sz val="8"/>
      <color indexed="10"/>
      <name val="Arial"/>
      <family val="2"/>
    </font>
    <font>
      <b/>
      <u/>
      <sz val="8"/>
      <name val="Arial"/>
      <family val="2"/>
    </font>
    <font>
      <u/>
      <sz val="8"/>
      <name val="Arial"/>
      <family val="2"/>
    </font>
    <font>
      <u/>
      <sz val="8"/>
      <color indexed="12"/>
      <name val="Arial"/>
      <family val="2"/>
    </font>
    <font>
      <b/>
      <sz val="8"/>
      <color rgb="FFFF0000"/>
      <name val="Arial"/>
      <family val="2"/>
    </font>
    <font>
      <sz val="8"/>
      <color rgb="FFFF0000"/>
      <name val="Arial"/>
      <family val="2"/>
    </font>
    <font>
      <b/>
      <i/>
      <u/>
      <sz val="8"/>
      <name val="Arial"/>
      <family val="2"/>
    </font>
    <font>
      <b/>
      <sz val="8"/>
      <color theme="1"/>
      <name val="Arial"/>
      <family val="2"/>
    </font>
    <font>
      <i/>
      <u/>
      <sz val="8"/>
      <color rgb="FF000000"/>
      <name val="Arial"/>
      <family val="2"/>
    </font>
    <font>
      <b/>
      <i/>
      <sz val="8"/>
      <color rgb="FF000000"/>
      <name val="Arial"/>
      <family val="2"/>
    </font>
    <font>
      <i/>
      <u/>
      <sz val="8"/>
      <name val="Arial"/>
      <family val="2"/>
    </font>
    <font>
      <i/>
      <sz val="8"/>
      <name val="Arial"/>
      <family val="2"/>
    </font>
    <font>
      <i/>
      <sz val="8"/>
      <color indexed="10"/>
      <name val="Arial"/>
      <family val="2"/>
    </font>
    <font>
      <u/>
      <sz val="8"/>
      <color rgb="FF000000"/>
      <name val="Arial"/>
      <family val="2"/>
    </font>
    <font>
      <u/>
      <sz val="8"/>
      <color indexed="8"/>
      <name val="Arial"/>
      <family val="2"/>
    </font>
    <font>
      <sz val="8"/>
      <color indexed="8"/>
      <name val="Arial"/>
      <family val="2"/>
    </font>
    <font>
      <sz val="8"/>
      <color rgb="FF000000"/>
      <name val="Arial"/>
      <family val="2"/>
    </font>
    <font>
      <b/>
      <sz val="8"/>
      <color rgb="FF000000"/>
      <name val="Arial"/>
      <family val="2"/>
    </font>
    <font>
      <b/>
      <u/>
      <sz val="8"/>
      <color rgb="FF000000"/>
      <name val="Arial"/>
      <family val="2"/>
    </font>
    <font>
      <b/>
      <i/>
      <sz val="8"/>
      <color rgb="FFFF0000"/>
      <name val="Arial"/>
      <family val="2"/>
    </font>
    <font>
      <i/>
      <sz val="8"/>
      <color rgb="FFFF0000"/>
      <name val="Arial"/>
      <family val="2"/>
    </font>
    <font>
      <b/>
      <u/>
      <sz val="8"/>
      <color theme="0"/>
      <name val="Arial"/>
      <family val="2"/>
    </font>
    <font>
      <b/>
      <sz val="8"/>
      <color theme="0"/>
      <name val="Arial"/>
      <family val="2"/>
    </font>
    <font>
      <sz val="8"/>
      <color theme="0"/>
      <name val="Arial"/>
      <family val="2"/>
    </font>
    <font>
      <u/>
      <sz val="8"/>
      <color theme="0"/>
      <name val="Arial"/>
      <family val="2"/>
    </font>
    <font>
      <b/>
      <u/>
      <sz val="8"/>
      <color indexed="8"/>
      <name val="Arial"/>
      <family val="2"/>
    </font>
    <font>
      <sz val="9"/>
      <color theme="1"/>
      <name val="Calibri"/>
      <family val="2"/>
      <scheme val="minor"/>
    </font>
    <font>
      <sz val="9"/>
      <name val="Calibri"/>
      <family val="2"/>
      <scheme val="minor"/>
    </font>
    <font>
      <b/>
      <sz val="9"/>
      <name val="Calibri"/>
      <family val="2"/>
      <scheme val="minor"/>
    </font>
    <font>
      <b/>
      <u/>
      <sz val="9"/>
      <name val="Calibri"/>
      <family val="2"/>
      <scheme val="minor"/>
    </font>
    <font>
      <b/>
      <sz val="9"/>
      <color theme="0"/>
      <name val="Calibri"/>
      <family val="2"/>
      <scheme val="minor"/>
    </font>
    <font>
      <b/>
      <u/>
      <sz val="9"/>
      <color theme="0"/>
      <name val="Calibri"/>
      <family val="2"/>
      <scheme val="minor"/>
    </font>
    <font>
      <sz val="9"/>
      <color indexed="10"/>
      <name val="Calibri"/>
      <family val="2"/>
      <scheme val="minor"/>
    </font>
    <font>
      <u/>
      <sz val="9"/>
      <name val="Calibri"/>
      <family val="2"/>
      <scheme val="minor"/>
    </font>
    <font>
      <i/>
      <sz val="9"/>
      <name val="Calibri"/>
      <family val="2"/>
      <scheme val="minor"/>
    </font>
    <font>
      <i/>
      <sz val="9"/>
      <color indexed="10"/>
      <name val="Calibri"/>
      <family val="2"/>
      <scheme val="minor"/>
    </font>
    <font>
      <b/>
      <sz val="9"/>
      <color rgb="FFFF0000"/>
      <name val="Calibri"/>
      <family val="2"/>
      <scheme val="minor"/>
    </font>
    <font>
      <sz val="9"/>
      <color rgb="FFFF0000"/>
      <name val="Calibri"/>
      <family val="2"/>
      <scheme val="minor"/>
    </font>
    <font>
      <sz val="9"/>
      <color rgb="FF000000"/>
      <name val="Calibri"/>
      <family val="2"/>
      <scheme val="minor"/>
    </font>
    <font>
      <b/>
      <u/>
      <sz val="9"/>
      <color rgb="FF000000"/>
      <name val="Calibri"/>
      <family val="2"/>
      <scheme val="minor"/>
    </font>
    <font>
      <u/>
      <sz val="9"/>
      <color rgb="FF000000"/>
      <name val="Calibri"/>
      <family val="2"/>
      <scheme val="minor"/>
    </font>
    <font>
      <u/>
      <sz val="9"/>
      <color indexed="12"/>
      <name val="Calibri"/>
      <family val="2"/>
      <scheme val="minor"/>
    </font>
    <font>
      <b/>
      <sz val="9"/>
      <color rgb="FF000000"/>
      <name val="Calibri"/>
      <family val="2"/>
      <scheme val="minor"/>
    </font>
    <font>
      <b/>
      <sz val="9"/>
      <color theme="1"/>
      <name val="Calibri"/>
      <family val="2"/>
      <scheme val="minor"/>
    </font>
    <font>
      <b/>
      <sz val="9"/>
      <color indexed="10"/>
      <name val="Calibri"/>
      <family val="2"/>
      <scheme val="minor"/>
    </font>
    <font>
      <b/>
      <u/>
      <sz val="9"/>
      <color theme="1"/>
      <name val="Calibri"/>
      <family val="2"/>
      <scheme val="minor"/>
    </font>
    <font>
      <b/>
      <u/>
      <sz val="9"/>
      <color indexed="8"/>
      <name val="Calibri"/>
      <family val="2"/>
      <scheme val="minor"/>
    </font>
    <font>
      <sz val="9"/>
      <color indexed="8"/>
      <name val="Calibri"/>
      <family val="2"/>
      <scheme val="minor"/>
    </font>
    <font>
      <sz val="8"/>
      <name val="Cambria"/>
      <family val="2"/>
      <scheme val="major"/>
    </font>
    <font>
      <i/>
      <sz val="9"/>
      <color rgb="FFFF0000"/>
      <name val="Calibri"/>
      <family val="2"/>
      <scheme val="minor"/>
    </font>
    <font>
      <sz val="9"/>
      <color theme="0"/>
      <name val="Calibri"/>
      <family val="2"/>
      <scheme val="minor"/>
    </font>
    <font>
      <u/>
      <sz val="9"/>
      <color theme="0"/>
      <name val="Calibri"/>
      <family val="2"/>
      <scheme val="minor"/>
    </font>
    <font>
      <b/>
      <i/>
      <sz val="9"/>
      <color rgb="FFFF0000"/>
      <name val="Calibri"/>
      <family val="2"/>
      <scheme val="minor"/>
    </font>
    <font>
      <i/>
      <u/>
      <sz val="9"/>
      <name val="Calibri"/>
      <family val="2"/>
      <scheme val="minor"/>
    </font>
    <font>
      <i/>
      <u/>
      <sz val="9"/>
      <color rgb="FF000000"/>
      <name val="Calibri"/>
      <family val="2"/>
      <scheme val="minor"/>
    </font>
    <font>
      <b/>
      <i/>
      <sz val="9"/>
      <color rgb="FF000000"/>
      <name val="Calibri"/>
      <family val="2"/>
      <scheme val="minor"/>
    </font>
    <font>
      <b/>
      <i/>
      <u/>
      <sz val="9"/>
      <name val="Calibri"/>
      <family val="2"/>
      <scheme val="minor"/>
    </font>
    <font>
      <b/>
      <sz val="18"/>
      <color rgb="FFFF0000"/>
      <name val="Calibri"/>
      <family val="2"/>
      <scheme val="minor"/>
    </font>
    <font>
      <b/>
      <u/>
      <sz val="9"/>
      <name val="Calibri"/>
      <family val="2"/>
    </font>
  </fonts>
  <fills count="17">
    <fill>
      <patternFill patternType="none"/>
    </fill>
    <fill>
      <patternFill patternType="gray125"/>
    </fill>
    <fill>
      <patternFill patternType="solid">
        <fgColor indexed="13"/>
        <bgColor indexed="64"/>
      </patternFill>
    </fill>
    <fill>
      <patternFill patternType="gray0625"/>
    </fill>
    <fill>
      <patternFill patternType="solid">
        <fgColor indexed="65"/>
        <bgColor indexed="64"/>
      </patternFill>
    </fill>
    <fill>
      <patternFill patternType="solid">
        <fgColor rgb="FFFFFF0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gray0625">
        <bgColor rgb="FFFFC000"/>
      </patternFill>
    </fill>
    <fill>
      <patternFill patternType="solid">
        <fgColor rgb="FF92D050"/>
        <bgColor indexed="64"/>
      </patternFill>
    </fill>
    <fill>
      <patternFill patternType="solid">
        <fgColor rgb="FF0070C0"/>
        <bgColor indexed="64"/>
      </patternFill>
    </fill>
    <fill>
      <patternFill patternType="solid">
        <fgColor rgb="FF0070C0"/>
        <bgColor rgb="FF000000"/>
      </patternFill>
    </fill>
    <fill>
      <patternFill patternType="solid">
        <fgColor rgb="FFFFC000"/>
        <bgColor rgb="FF000000"/>
      </patternFill>
    </fill>
  </fills>
  <borders count="63">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diagonal/>
    </border>
    <border>
      <left style="thin">
        <color theme="0"/>
      </left>
      <right style="thin">
        <color indexed="64"/>
      </right>
      <top style="thin">
        <color indexed="64"/>
      </top>
      <bottom style="thin">
        <color indexed="64"/>
      </bottom>
      <diagonal/>
    </border>
    <border>
      <left style="thin">
        <color indexed="64"/>
      </left>
      <right/>
      <top style="thin">
        <color indexed="64"/>
      </top>
      <bottom style="thin">
        <color theme="0"/>
      </bottom>
      <diagonal/>
    </border>
    <border>
      <left style="thin">
        <color indexed="64"/>
      </left>
      <right/>
      <top style="thin">
        <color theme="0"/>
      </top>
      <bottom/>
      <diagonal/>
    </border>
    <border>
      <left style="thin">
        <color theme="0"/>
      </left>
      <right style="thin">
        <color indexed="64"/>
      </right>
      <top style="thin">
        <color indexed="64"/>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indexed="64"/>
      </top>
      <bottom/>
      <diagonal/>
    </border>
    <border>
      <left style="thin">
        <color indexed="64"/>
      </left>
      <right style="thin">
        <color indexed="64"/>
      </right>
      <top style="thin">
        <color theme="0"/>
      </top>
      <bottom style="thin">
        <color theme="0"/>
      </bottom>
      <diagonal/>
    </border>
    <border>
      <left style="thin">
        <color indexed="64"/>
      </left>
      <right/>
      <top/>
      <bottom style="thin">
        <color theme="0"/>
      </bottom>
      <diagonal/>
    </border>
    <border>
      <left style="thin">
        <color indexed="64"/>
      </left>
      <right style="thin">
        <color indexed="64"/>
      </right>
      <top/>
      <bottom style="thin">
        <color theme="0"/>
      </bottom>
      <diagonal/>
    </border>
    <border>
      <left style="thin">
        <color indexed="64"/>
      </left>
      <right style="thin">
        <color indexed="64"/>
      </right>
      <top style="thin">
        <color indexed="64"/>
      </top>
      <bottom style="thin">
        <color theme="0"/>
      </bottom>
      <diagonal/>
    </border>
    <border>
      <left/>
      <right style="thin">
        <color theme="0"/>
      </right>
      <top/>
      <bottom style="thin">
        <color theme="0"/>
      </bottom>
      <diagonal/>
    </border>
    <border>
      <left/>
      <right/>
      <top/>
      <bottom style="thin">
        <color theme="0"/>
      </bottom>
      <diagonal/>
    </border>
    <border>
      <left style="thin">
        <color theme="0"/>
      </left>
      <right/>
      <top/>
      <bottom style="thin">
        <color theme="0"/>
      </bottom>
      <diagonal/>
    </border>
    <border>
      <left/>
      <right style="thin">
        <color theme="0"/>
      </right>
      <top/>
      <bottom/>
      <diagonal/>
    </border>
    <border>
      <left style="thin">
        <color theme="0"/>
      </left>
      <right/>
      <top/>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indexed="64"/>
      </top>
      <bottom/>
      <diagonal/>
    </border>
    <border>
      <left style="thin">
        <color theme="0"/>
      </left>
      <right/>
      <top style="thin">
        <color theme="0"/>
      </top>
      <bottom/>
      <diagonal/>
    </border>
    <border>
      <left style="thin">
        <color indexed="64"/>
      </left>
      <right style="thin">
        <color theme="0"/>
      </right>
      <top style="thin">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theme="0"/>
      </top>
      <bottom style="thin">
        <color indexed="64"/>
      </bottom>
      <diagonal/>
    </border>
    <border>
      <left/>
      <right style="thin">
        <color indexed="64"/>
      </right>
      <top style="thin">
        <color theme="0"/>
      </top>
      <bottom style="thin">
        <color indexed="64"/>
      </bottom>
      <diagonal/>
    </border>
    <border>
      <left style="thin">
        <color theme="0"/>
      </left>
      <right style="thin">
        <color theme="0"/>
      </right>
      <top/>
      <bottom style="thin">
        <color theme="0"/>
      </bottom>
      <diagonal/>
    </border>
    <border>
      <left/>
      <right style="thin">
        <color theme="0"/>
      </right>
      <top style="thin">
        <color theme="0"/>
      </top>
      <bottom/>
      <diagonal/>
    </border>
    <border>
      <left/>
      <right/>
      <top style="thin">
        <color theme="0"/>
      </top>
      <bottom/>
      <diagonal/>
    </border>
  </borders>
  <cellStyleXfs count="29">
    <xf numFmtId="0" fontId="0" fillId="0" borderId="0"/>
    <xf numFmtId="44" fontId="4"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0" fontId="6" fillId="0" borderId="0" applyNumberFormat="0" applyFill="0" applyBorder="0" applyAlignment="0" applyProtection="0">
      <alignment vertical="top"/>
      <protection locked="0"/>
    </xf>
    <xf numFmtId="0" fontId="22" fillId="0" borderId="0"/>
    <xf numFmtId="0" fontId="22" fillId="0" borderId="0"/>
    <xf numFmtId="0" fontId="8" fillId="0" borderId="0"/>
    <xf numFmtId="9" fontId="4" fillId="0" borderId="0" applyFont="0" applyFill="0" applyBorder="0" applyAlignment="0" applyProtection="0"/>
    <xf numFmtId="9" fontId="8"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3" fontId="4" fillId="0" borderId="0" applyFont="0" applyFill="0" applyBorder="0" applyAlignment="0" applyProtection="0"/>
    <xf numFmtId="0" fontId="3" fillId="0" borderId="0"/>
    <xf numFmtId="9" fontId="4" fillId="0" borderId="0" applyFont="0" applyFill="0" applyBorder="0" applyAlignment="0" applyProtection="0"/>
    <xf numFmtId="0" fontId="4" fillId="0" borderId="0"/>
    <xf numFmtId="0" fontId="3" fillId="0" borderId="0"/>
    <xf numFmtId="0" fontId="4" fillId="0" borderId="0"/>
    <xf numFmtId="44"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 fillId="0" borderId="0"/>
  </cellStyleXfs>
  <cellXfs count="1346">
    <xf numFmtId="0" fontId="0" fillId="0" borderId="0" xfId="0"/>
    <xf numFmtId="0" fontId="5" fillId="0" borderId="0" xfId="0" applyFont="1"/>
    <xf numFmtId="0" fontId="10" fillId="0" borderId="0" xfId="0" applyFont="1" applyAlignment="1">
      <alignment horizontal="left" vertical="top"/>
    </xf>
    <xf numFmtId="0" fontId="0" fillId="0" borderId="0" xfId="0" quotePrefix="1"/>
    <xf numFmtId="0" fontId="0" fillId="5" borderId="0" xfId="0" applyFill="1"/>
    <xf numFmtId="0" fontId="9" fillId="5" borderId="0" xfId="0" applyFont="1" applyFill="1"/>
    <xf numFmtId="166" fontId="0" fillId="0" borderId="0" xfId="0" applyNumberFormat="1"/>
    <xf numFmtId="0" fontId="23" fillId="5" borderId="0" xfId="0" applyFont="1" applyFill="1"/>
    <xf numFmtId="0" fontId="7" fillId="0" borderId="0" xfId="0" applyFont="1"/>
    <xf numFmtId="0" fontId="13" fillId="0" borderId="0" xfId="0" applyFont="1" applyProtection="1">
      <protection locked="0"/>
    </xf>
    <xf numFmtId="0" fontId="11" fillId="0" borderId="0" xfId="0" applyFont="1" applyProtection="1">
      <protection locked="0"/>
    </xf>
    <xf numFmtId="0" fontId="11" fillId="0" borderId="0" xfId="0" applyFont="1" applyAlignment="1" applyProtection="1">
      <alignment horizontal="left"/>
      <protection locked="0"/>
    </xf>
    <xf numFmtId="0" fontId="16" fillId="0" borderId="1" xfId="0" applyFont="1" applyBorder="1" applyAlignment="1" applyProtection="1">
      <alignment horizontal="center" vertical="top" wrapText="1"/>
      <protection locked="0"/>
    </xf>
    <xf numFmtId="0" fontId="13" fillId="0" borderId="1" xfId="0" applyFont="1" applyBorder="1" applyAlignment="1" applyProtection="1">
      <alignment horizontal="center" vertical="top" wrapText="1"/>
      <protection locked="0"/>
    </xf>
    <xf numFmtId="0" fontId="13" fillId="0" borderId="2" xfId="0" applyFont="1" applyBorder="1" applyAlignment="1" applyProtection="1">
      <alignment horizontal="center" vertical="top" wrapText="1"/>
      <protection locked="0"/>
    </xf>
    <xf numFmtId="5" fontId="13" fillId="3" borderId="3" xfId="0" applyNumberFormat="1" applyFont="1" applyFill="1" applyBorder="1" applyAlignment="1">
      <alignment vertical="top"/>
    </xf>
    <xf numFmtId="168" fontId="13" fillId="3" borderId="4" xfId="0" applyNumberFormat="1" applyFont="1" applyFill="1" applyBorder="1" applyAlignment="1">
      <alignment horizontal="center" vertical="top" wrapText="1"/>
    </xf>
    <xf numFmtId="168" fontId="13" fillId="3" borderId="4" xfId="0" applyNumberFormat="1" applyFont="1" applyFill="1" applyBorder="1" applyAlignment="1">
      <alignment vertical="top"/>
    </xf>
    <xf numFmtId="168" fontId="13" fillId="3" borderId="3" xfId="0" applyNumberFormat="1" applyFont="1" applyFill="1" applyBorder="1" applyAlignment="1">
      <alignment horizontal="center" vertical="top" wrapText="1"/>
    </xf>
    <xf numFmtId="0" fontId="13" fillId="0" borderId="5" xfId="0" applyFont="1" applyBorder="1" applyAlignment="1" applyProtection="1">
      <alignment vertical="top" wrapText="1"/>
      <protection locked="0"/>
    </xf>
    <xf numFmtId="42" fontId="13" fillId="0" borderId="5" xfId="0" applyNumberFormat="1" applyFont="1" applyBorder="1" applyAlignment="1" applyProtection="1">
      <alignment horizontal="center" vertical="top" wrapText="1"/>
      <protection locked="0"/>
    </xf>
    <xf numFmtId="168" fontId="13" fillId="3" borderId="3" xfId="0" applyNumberFormat="1" applyFont="1" applyFill="1" applyBorder="1" applyAlignment="1">
      <alignment horizontal="right" vertical="top" wrapText="1"/>
    </xf>
    <xf numFmtId="168" fontId="13" fillId="3" borderId="4" xfId="0" applyNumberFormat="1" applyFont="1" applyFill="1" applyBorder="1" applyAlignment="1">
      <alignment horizontal="right" vertical="top" wrapText="1"/>
    </xf>
    <xf numFmtId="0" fontId="13" fillId="0" borderId="0" xfId="0" applyFont="1" applyAlignment="1" applyProtection="1">
      <alignment horizontal="center"/>
      <protection locked="0"/>
    </xf>
    <xf numFmtId="0" fontId="13" fillId="0" borderId="0" xfId="0" applyFont="1"/>
    <xf numFmtId="0" fontId="13" fillId="0" borderId="3" xfId="0" applyFont="1" applyBorder="1" applyAlignment="1" applyProtection="1">
      <alignment horizontal="right" vertical="top" wrapText="1"/>
      <protection locked="0"/>
    </xf>
    <xf numFmtId="0" fontId="12" fillId="0" borderId="0" xfId="0" applyFont="1" applyProtection="1">
      <protection locked="0"/>
    </xf>
    <xf numFmtId="0" fontId="15" fillId="0" borderId="0" xfId="0" applyFont="1" applyProtection="1">
      <protection locked="0"/>
    </xf>
    <xf numFmtId="0" fontId="17" fillId="0" borderId="0" xfId="5" applyFont="1" applyProtection="1">
      <protection locked="0"/>
    </xf>
    <xf numFmtId="0" fontId="24" fillId="0" borderId="0" xfId="5" applyFont="1" applyProtection="1">
      <protection locked="0"/>
    </xf>
    <xf numFmtId="0" fontId="18" fillId="0" borderId="0" xfId="4" applyFont="1" applyFill="1" applyBorder="1" applyAlignment="1" applyProtection="1">
      <alignment vertical="top" wrapText="1"/>
      <protection locked="0"/>
    </xf>
    <xf numFmtId="0" fontId="18" fillId="0" borderId="0" xfId="4" applyFont="1" applyFill="1" applyAlignment="1" applyProtection="1">
      <protection locked="0"/>
    </xf>
    <xf numFmtId="0" fontId="11" fillId="0" borderId="0" xfId="0" applyFont="1" applyAlignment="1" applyProtection="1">
      <alignment horizontal="right"/>
      <protection locked="0"/>
    </xf>
    <xf numFmtId="0" fontId="12" fillId="0" borderId="1" xfId="0" applyFont="1" applyBorder="1" applyAlignment="1" applyProtection="1">
      <alignment horizontal="left" vertical="top" wrapText="1"/>
      <protection locked="0"/>
    </xf>
    <xf numFmtId="0" fontId="13" fillId="0" borderId="3" xfId="0" applyFont="1" applyBorder="1" applyAlignment="1" applyProtection="1">
      <alignment vertical="top" wrapText="1"/>
      <protection locked="0"/>
    </xf>
    <xf numFmtId="42" fontId="13" fillId="0" borderId="1" xfId="0" applyNumberFormat="1" applyFont="1" applyBorder="1" applyAlignment="1" applyProtection="1">
      <alignment horizontal="center" wrapText="1"/>
      <protection locked="0"/>
    </xf>
    <xf numFmtId="0" fontId="13" fillId="2" borderId="3" xfId="0" applyFont="1" applyFill="1" applyBorder="1" applyAlignment="1" applyProtection="1">
      <alignment horizontal="right" vertical="top" wrapText="1"/>
      <protection locked="0"/>
    </xf>
    <xf numFmtId="5" fontId="13" fillId="4" borderId="3" xfId="0" applyNumberFormat="1" applyFont="1" applyFill="1" applyBorder="1" applyAlignment="1" applyProtection="1">
      <alignment horizontal="center" vertical="top" wrapText="1"/>
      <protection locked="0"/>
    </xf>
    <xf numFmtId="0" fontId="13" fillId="0" borderId="8"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0" fontId="13" fillId="0" borderId="10" xfId="0" applyFont="1" applyBorder="1" applyAlignment="1" applyProtection="1">
      <alignment vertical="top" wrapText="1"/>
      <protection locked="0"/>
    </xf>
    <xf numFmtId="0" fontId="13" fillId="0" borderId="10" xfId="0" applyFont="1" applyBorder="1" applyAlignment="1" applyProtection="1">
      <alignment horizontal="right" vertical="top" wrapText="1"/>
      <protection locked="0"/>
    </xf>
    <xf numFmtId="42" fontId="13" fillId="0" borderId="0" xfId="0" applyNumberFormat="1" applyFont="1" applyAlignment="1" applyProtection="1">
      <alignment horizontal="right" vertical="top" wrapText="1"/>
      <protection locked="0"/>
    </xf>
    <xf numFmtId="9" fontId="13" fillId="3" borderId="11" xfId="0" applyNumberFormat="1" applyFont="1" applyFill="1" applyBorder="1" applyAlignment="1" applyProtection="1">
      <alignment horizontal="right" vertical="top"/>
      <protection locked="0"/>
    </xf>
    <xf numFmtId="0" fontId="24" fillId="0" borderId="0" xfId="5" applyFont="1"/>
    <xf numFmtId="0" fontId="4" fillId="0" borderId="0" xfId="0" quotePrefix="1" applyFont="1"/>
    <xf numFmtId="0" fontId="4" fillId="0" borderId="0" xfId="0" applyFont="1"/>
    <xf numFmtId="0" fontId="26" fillId="0" borderId="0" xfId="5" applyFont="1"/>
    <xf numFmtId="167" fontId="26" fillId="7" borderId="0" xfId="2" applyNumberFormat="1" applyFont="1" applyFill="1" applyBorder="1" applyAlignment="1" applyProtection="1">
      <alignment horizontal="right" vertical="top"/>
    </xf>
    <xf numFmtId="167" fontId="30" fillId="0" borderId="12" xfId="2" applyNumberFormat="1" applyFont="1" applyFill="1" applyBorder="1" applyAlignment="1" applyProtection="1">
      <alignment horizontal="center" wrapText="1"/>
    </xf>
    <xf numFmtId="167" fontId="30" fillId="0" borderId="12" xfId="2" applyNumberFormat="1" applyFont="1" applyFill="1" applyBorder="1" applyAlignment="1" applyProtection="1">
      <alignment horizontal="center"/>
    </xf>
    <xf numFmtId="0" fontId="30" fillId="0" borderId="12" xfId="5" applyFont="1" applyBorder="1" applyAlignment="1">
      <alignment horizontal="center" wrapText="1"/>
    </xf>
    <xf numFmtId="164" fontId="19" fillId="0" borderId="12" xfId="2" applyNumberFormat="1" applyFont="1" applyFill="1" applyBorder="1" applyAlignment="1" applyProtection="1">
      <alignment horizontal="right"/>
    </xf>
    <xf numFmtId="169" fontId="19" fillId="0" borderId="12" xfId="10" applyNumberFormat="1" applyFont="1" applyFill="1" applyBorder="1" applyAlignment="1" applyProtection="1">
      <alignment horizontal="center"/>
    </xf>
    <xf numFmtId="169" fontId="19" fillId="0" borderId="12" xfId="8" applyNumberFormat="1" applyFont="1" applyFill="1" applyBorder="1" applyAlignment="1" applyProtection="1">
      <alignment horizontal="center"/>
    </xf>
    <xf numFmtId="0" fontId="19" fillId="0" borderId="12" xfId="5" applyFont="1" applyBorder="1" applyAlignment="1">
      <alignment horizontal="center"/>
    </xf>
    <xf numFmtId="10" fontId="19" fillId="0" borderId="12" xfId="8" applyNumberFormat="1" applyFont="1" applyFill="1" applyBorder="1" applyAlignment="1" applyProtection="1">
      <alignment horizontal="center"/>
    </xf>
    <xf numFmtId="5" fontId="19" fillId="0" borderId="12" xfId="5" applyNumberFormat="1" applyFont="1" applyBorder="1" applyAlignment="1">
      <alignment horizontal="right"/>
    </xf>
    <xf numFmtId="0" fontId="30" fillId="5" borderId="12" xfId="5" applyFont="1" applyFill="1" applyBorder="1" applyAlignment="1">
      <alignment horizontal="right" wrapText="1"/>
    </xf>
    <xf numFmtId="169" fontId="19" fillId="0" borderId="12" xfId="9" applyNumberFormat="1" applyFont="1" applyFill="1" applyBorder="1" applyAlignment="1" applyProtection="1">
      <alignment horizontal="center"/>
    </xf>
    <xf numFmtId="10" fontId="19" fillId="0" borderId="12" xfId="9" applyNumberFormat="1" applyFont="1" applyFill="1" applyBorder="1" applyAlignment="1" applyProtection="1">
      <alignment horizontal="center"/>
    </xf>
    <xf numFmtId="164" fontId="19" fillId="0" borderId="12" xfId="3" applyNumberFormat="1" applyFont="1" applyFill="1" applyBorder="1" applyAlignment="1" applyProtection="1">
      <alignment horizontal="right"/>
    </xf>
    <xf numFmtId="169" fontId="19" fillId="0" borderId="12" xfId="11" applyNumberFormat="1" applyFont="1" applyFill="1" applyBorder="1" applyAlignment="1" applyProtection="1">
      <alignment horizontal="center"/>
    </xf>
    <xf numFmtId="0" fontId="19" fillId="0" borderId="12" xfId="6" applyFont="1" applyBorder="1" applyAlignment="1">
      <alignment horizontal="center"/>
    </xf>
    <xf numFmtId="5" fontId="19" fillId="0" borderId="12" xfId="6" applyNumberFormat="1" applyFont="1" applyBorder="1" applyAlignment="1">
      <alignment horizontal="right"/>
    </xf>
    <xf numFmtId="10" fontId="19" fillId="0" borderId="12" xfId="9" applyNumberFormat="1" applyFont="1" applyFill="1" applyBorder="1" applyAlignment="1" applyProtection="1">
      <alignment horizontal="center" vertical="top"/>
    </xf>
    <xf numFmtId="164" fontId="19" fillId="11" borderId="12" xfId="2" applyNumberFormat="1" applyFont="1" applyFill="1" applyBorder="1" applyAlignment="1" applyProtection="1">
      <alignment horizontal="right"/>
    </xf>
    <xf numFmtId="169" fontId="19" fillId="11" borderId="12" xfId="10" applyNumberFormat="1" applyFont="1" applyFill="1" applyBorder="1" applyAlignment="1" applyProtection="1">
      <alignment horizontal="center"/>
    </xf>
    <xf numFmtId="169" fontId="19" fillId="11" borderId="12" xfId="9" applyNumberFormat="1" applyFont="1" applyFill="1" applyBorder="1" applyAlignment="1" applyProtection="1">
      <alignment horizontal="center"/>
    </xf>
    <xf numFmtId="10" fontId="19" fillId="11" borderId="12" xfId="9" applyNumberFormat="1" applyFont="1" applyFill="1" applyBorder="1" applyAlignment="1" applyProtection="1">
      <alignment horizontal="center"/>
    </xf>
    <xf numFmtId="167" fontId="30" fillId="7" borderId="0" xfId="2" applyNumberFormat="1" applyFont="1" applyFill="1" applyBorder="1" applyAlignment="1" applyProtection="1">
      <alignment horizontal="right" wrapText="1"/>
    </xf>
    <xf numFmtId="167" fontId="30" fillId="7" borderId="0" xfId="2" applyNumberFormat="1" applyFont="1" applyFill="1" applyBorder="1" applyAlignment="1" applyProtection="1">
      <alignment horizontal="center"/>
    </xf>
    <xf numFmtId="167" fontId="26" fillId="6" borderId="0" xfId="2" applyNumberFormat="1" applyFont="1" applyFill="1" applyBorder="1" applyAlignment="1" applyProtection="1">
      <alignment horizontal="right" vertical="top"/>
    </xf>
    <xf numFmtId="170" fontId="26" fillId="8" borderId="0" xfId="2" applyNumberFormat="1" applyFont="1" applyFill="1" applyBorder="1" applyAlignment="1" applyProtection="1">
      <alignment horizontal="right" vertical="top"/>
    </xf>
    <xf numFmtId="167" fontId="26" fillId="8" borderId="0" xfId="2" applyNumberFormat="1" applyFont="1" applyFill="1" applyBorder="1" applyAlignment="1" applyProtection="1">
      <alignment horizontal="right" vertical="top"/>
    </xf>
    <xf numFmtId="0" fontId="26" fillId="0" borderId="0" xfId="5" applyFont="1" applyProtection="1">
      <protection locked="0"/>
    </xf>
    <xf numFmtId="167" fontId="26" fillId="0" borderId="0" xfId="5" applyNumberFormat="1" applyFont="1" applyProtection="1">
      <protection locked="0"/>
    </xf>
    <xf numFmtId="5" fontId="26" fillId="0" borderId="0" xfId="5" applyNumberFormat="1" applyFont="1" applyProtection="1">
      <protection locked="0"/>
    </xf>
    <xf numFmtId="0" fontId="19" fillId="0" borderId="0" xfId="5" applyFont="1" applyProtection="1">
      <protection locked="0"/>
    </xf>
    <xf numFmtId="6" fontId="19" fillId="0" borderId="0" xfId="5" applyNumberFormat="1" applyFont="1" applyProtection="1">
      <protection locked="0"/>
    </xf>
    <xf numFmtId="0" fontId="30" fillId="13" borderId="12" xfId="5" applyFont="1" applyFill="1" applyBorder="1" applyAlignment="1">
      <alignment horizontal="right" vertical="top" wrapText="1"/>
    </xf>
    <xf numFmtId="0" fontId="19" fillId="13" borderId="12" xfId="5" applyFont="1" applyFill="1" applyBorder="1" applyAlignment="1">
      <alignment horizontal="center"/>
    </xf>
    <xf numFmtId="164" fontId="19" fillId="13" borderId="12" xfId="3" applyNumberFormat="1" applyFont="1" applyFill="1" applyBorder="1" applyAlignment="1" applyProtection="1">
      <alignment horizontal="right"/>
    </xf>
    <xf numFmtId="44" fontId="26" fillId="0" borderId="0" xfId="1" applyFont="1" applyBorder="1" applyProtection="1"/>
    <xf numFmtId="44" fontId="19" fillId="0" borderId="0" xfId="1" applyFont="1" applyBorder="1" applyAlignment="1" applyProtection="1">
      <alignment horizontal="right"/>
    </xf>
    <xf numFmtId="167" fontId="27" fillId="0" borderId="0" xfId="5" applyNumberFormat="1" applyFont="1" applyAlignment="1" applyProtection="1">
      <alignment horizontal="left" wrapText="1"/>
      <protection locked="0"/>
    </xf>
    <xf numFmtId="169" fontId="19" fillId="0" borderId="29" xfId="10" applyNumberFormat="1" applyFont="1" applyFill="1" applyBorder="1" applyAlignment="1" applyProtection="1">
      <alignment horizontal="center"/>
    </xf>
    <xf numFmtId="169" fontId="19" fillId="0" borderId="29" xfId="8" applyNumberFormat="1" applyFont="1" applyFill="1" applyBorder="1" applyAlignment="1" applyProtection="1">
      <alignment horizontal="center"/>
    </xf>
    <xf numFmtId="10" fontId="19" fillId="0" borderId="29" xfId="8" applyNumberFormat="1" applyFont="1" applyFill="1" applyBorder="1" applyAlignment="1" applyProtection="1">
      <alignment horizontal="center"/>
    </xf>
    <xf numFmtId="164" fontId="19" fillId="0" borderId="30" xfId="2" applyNumberFormat="1" applyFont="1" applyFill="1" applyBorder="1" applyAlignment="1" applyProtection="1">
      <alignment horizontal="right"/>
    </xf>
    <xf numFmtId="164" fontId="19" fillId="0" borderId="33" xfId="2" applyNumberFormat="1" applyFont="1" applyFill="1" applyBorder="1" applyAlignment="1" applyProtection="1">
      <alignment horizontal="right"/>
    </xf>
    <xf numFmtId="167" fontId="19" fillId="7" borderId="0" xfId="2" applyNumberFormat="1" applyFont="1" applyFill="1" applyBorder="1" applyAlignment="1" applyProtection="1">
      <alignment horizontal="right" wrapText="1"/>
    </xf>
    <xf numFmtId="3" fontId="19" fillId="0" borderId="0" xfId="12" applyNumberFormat="1" applyFont="1" applyBorder="1" applyAlignment="1" applyProtection="1">
      <alignment horizontal="center" wrapText="1"/>
    </xf>
    <xf numFmtId="169" fontId="27" fillId="0" borderId="0" xfId="9" applyNumberFormat="1" applyFont="1" applyFill="1" applyBorder="1" applyAlignment="1" applyProtection="1"/>
    <xf numFmtId="43" fontId="32" fillId="9" borderId="21" xfId="12" applyFont="1" applyFill="1" applyBorder="1" applyAlignment="1" applyProtection="1">
      <alignment horizontal="right" vertical="top" wrapText="1"/>
    </xf>
    <xf numFmtId="0" fontId="30" fillId="0" borderId="0" xfId="5" applyFont="1" applyAlignment="1" applyProtection="1">
      <alignment horizontal="left" vertical="top" wrapText="1"/>
      <protection locked="0"/>
    </xf>
    <xf numFmtId="43" fontId="26" fillId="0" borderId="0" xfId="12" applyFont="1" applyAlignment="1" applyProtection="1">
      <protection locked="0"/>
    </xf>
    <xf numFmtId="0" fontId="19" fillId="0" borderId="0" xfId="4" applyFont="1" applyFill="1" applyBorder="1" applyAlignment="1" applyProtection="1">
      <alignment vertical="top"/>
      <protection locked="0"/>
    </xf>
    <xf numFmtId="0" fontId="31" fillId="0" borderId="0" xfId="4" applyFont="1" applyFill="1" applyBorder="1" applyAlignment="1" applyProtection="1">
      <alignment vertical="top"/>
      <protection locked="0"/>
    </xf>
    <xf numFmtId="0" fontId="26" fillId="0" borderId="0" xfId="5" applyFont="1" applyAlignment="1" applyProtection="1">
      <alignment vertical="top"/>
      <protection locked="0"/>
    </xf>
    <xf numFmtId="0" fontId="19" fillId="0" borderId="0" xfId="5" applyFont="1" applyAlignment="1" applyProtection="1">
      <alignment vertical="top"/>
      <protection locked="0"/>
    </xf>
    <xf numFmtId="0" fontId="30" fillId="0" borderId="0" xfId="4" applyFont="1" applyFill="1" applyBorder="1" applyAlignment="1" applyProtection="1">
      <alignment horizontal="center" vertical="top"/>
      <protection locked="0"/>
    </xf>
    <xf numFmtId="9" fontId="26" fillId="0" borderId="0" xfId="8" applyFont="1" applyProtection="1">
      <protection locked="0"/>
    </xf>
    <xf numFmtId="0" fontId="19" fillId="0" borderId="0" xfId="5" applyFont="1" applyAlignment="1" applyProtection="1">
      <alignment horizontal="center"/>
      <protection locked="0"/>
    </xf>
    <xf numFmtId="43" fontId="26" fillId="0" borderId="0" xfId="12" applyFont="1" applyAlignment="1" applyProtection="1">
      <alignment horizontal="right"/>
      <protection locked="0"/>
    </xf>
    <xf numFmtId="0" fontId="26" fillId="0" borderId="0" xfId="5" applyFont="1" applyAlignment="1" applyProtection="1">
      <alignment horizontal="right"/>
      <protection locked="0"/>
    </xf>
    <xf numFmtId="0" fontId="19" fillId="11" borderId="0" xfId="4" applyFont="1" applyFill="1" applyBorder="1" applyAlignment="1" applyProtection="1">
      <alignment horizontal="left"/>
      <protection locked="0"/>
    </xf>
    <xf numFmtId="0" fontId="26" fillId="0" borderId="0" xfId="5" applyFont="1" applyAlignment="1" applyProtection="1">
      <alignment horizontal="center"/>
      <protection locked="0"/>
    </xf>
    <xf numFmtId="44" fontId="35" fillId="0" borderId="0" xfId="1" applyFont="1" applyAlignment="1" applyProtection="1">
      <alignment horizontal="right"/>
      <protection locked="0"/>
    </xf>
    <xf numFmtId="43" fontId="35" fillId="0" borderId="6" xfId="12" applyFont="1" applyBorder="1" applyAlignment="1" applyProtection="1">
      <protection locked="0"/>
    </xf>
    <xf numFmtId="42" fontId="19" fillId="0" borderId="0" xfId="5" applyNumberFormat="1" applyFont="1" applyProtection="1">
      <protection locked="0"/>
    </xf>
    <xf numFmtId="43" fontId="26" fillId="0" borderId="0" xfId="12" applyFont="1" applyProtection="1">
      <protection locked="0"/>
    </xf>
    <xf numFmtId="0" fontId="31" fillId="0" borderId="0" xfId="4" applyFont="1" applyFill="1" applyAlignment="1" applyProtection="1">
      <protection locked="0"/>
    </xf>
    <xf numFmtId="0" fontId="19" fillId="0" borderId="0" xfId="5" applyFont="1" applyAlignment="1" applyProtection="1">
      <alignment horizontal="left" vertical="top"/>
      <protection locked="0"/>
    </xf>
    <xf numFmtId="0" fontId="26" fillId="0" borderId="0" xfId="5" applyFont="1" applyAlignment="1" applyProtection="1">
      <alignment horizontal="left" vertical="top"/>
      <protection locked="0"/>
    </xf>
    <xf numFmtId="167" fontId="26" fillId="0" borderId="0" xfId="5" applyNumberFormat="1" applyFont="1" applyAlignment="1" applyProtection="1">
      <alignment horizontal="left" vertical="top"/>
      <protection locked="0"/>
    </xf>
    <xf numFmtId="0" fontId="26" fillId="0" borderId="0" xfId="5" applyFont="1" applyAlignment="1" applyProtection="1">
      <alignment horizontal="left"/>
      <protection locked="0"/>
    </xf>
    <xf numFmtId="5" fontId="27" fillId="0" borderId="0" xfId="5" applyNumberFormat="1" applyFont="1" applyAlignment="1" applyProtection="1">
      <alignment horizontal="right" wrapText="1"/>
      <protection locked="0"/>
    </xf>
    <xf numFmtId="3" fontId="45" fillId="0" borderId="0" xfId="5" applyNumberFormat="1" applyFont="1" applyAlignment="1" applyProtection="1">
      <alignment horizontal="left" vertical="top" wrapText="1"/>
      <protection locked="0"/>
    </xf>
    <xf numFmtId="5" fontId="31" fillId="0" borderId="0" xfId="4" applyNumberFormat="1" applyFont="1" applyFill="1" applyAlignment="1" applyProtection="1">
      <alignment vertical="top" wrapText="1"/>
      <protection locked="0"/>
    </xf>
    <xf numFmtId="0" fontId="45" fillId="0" borderId="0" xfId="5" applyFont="1" applyAlignment="1" applyProtection="1">
      <alignment horizontal="left" vertical="top" wrapText="1"/>
      <protection locked="0"/>
    </xf>
    <xf numFmtId="0" fontId="31" fillId="0" borderId="0" xfId="4" applyFont="1" applyFill="1" applyAlignment="1" applyProtection="1">
      <alignment vertical="top" wrapText="1"/>
      <protection locked="0"/>
    </xf>
    <xf numFmtId="0" fontId="31" fillId="0" borderId="0" xfId="4" applyFont="1" applyAlignment="1" applyProtection="1">
      <alignment vertical="top" wrapText="1"/>
      <protection locked="0"/>
    </xf>
    <xf numFmtId="1" fontId="26" fillId="0" borderId="0" xfId="5" applyNumberFormat="1" applyFont="1" applyProtection="1">
      <protection locked="0"/>
    </xf>
    <xf numFmtId="42" fontId="26" fillId="0" borderId="0" xfId="5" applyNumberFormat="1" applyFont="1" applyProtection="1">
      <protection locked="0"/>
    </xf>
    <xf numFmtId="42" fontId="50" fillId="14" borderId="0" xfId="12" applyNumberFormat="1" applyFont="1" applyFill="1" applyAlignment="1" applyProtection="1">
      <alignment horizontal="right"/>
    </xf>
    <xf numFmtId="0" fontId="29" fillId="7" borderId="0" xfId="5" applyFont="1" applyFill="1" applyAlignment="1">
      <alignment vertical="top"/>
    </xf>
    <xf numFmtId="0" fontId="27" fillId="7" borderId="0" xfId="5" applyFont="1" applyFill="1"/>
    <xf numFmtId="167" fontId="27" fillId="7" borderId="0" xfId="5" applyNumberFormat="1" applyFont="1" applyFill="1" applyAlignment="1">
      <alignment horizontal="right"/>
    </xf>
    <xf numFmtId="167" fontId="19" fillId="7" borderId="0" xfId="5" applyNumberFormat="1" applyFont="1" applyFill="1" applyAlignment="1">
      <alignment horizontal="center"/>
    </xf>
    <xf numFmtId="42" fontId="27" fillId="7" borderId="0" xfId="5" applyNumberFormat="1" applyFont="1" applyFill="1" applyAlignment="1">
      <alignment horizontal="right"/>
    </xf>
    <xf numFmtId="0" fontId="30" fillId="0" borderId="12" xfId="5" applyFont="1" applyBorder="1" applyAlignment="1">
      <alignment horizontal="center"/>
    </xf>
    <xf numFmtId="42" fontId="30" fillId="0" borderId="12" xfId="5" applyNumberFormat="1" applyFont="1" applyBorder="1" applyAlignment="1">
      <alignment horizontal="center" wrapText="1"/>
    </xf>
    <xf numFmtId="0" fontId="52" fillId="15" borderId="31" xfId="0" applyFont="1" applyFill="1" applyBorder="1" applyAlignment="1">
      <alignment horizontal="right" wrapText="1"/>
    </xf>
    <xf numFmtId="0" fontId="19" fillId="0" borderId="12" xfId="5" applyFont="1" applyBorder="1" applyAlignment="1">
      <alignment horizontal="center" wrapText="1"/>
    </xf>
    <xf numFmtId="0" fontId="52" fillId="15" borderId="23" xfId="0" applyFont="1" applyFill="1" applyBorder="1" applyAlignment="1">
      <alignment horizontal="right" wrapText="1"/>
    </xf>
    <xf numFmtId="0" fontId="52" fillId="15" borderId="32" xfId="0" applyFont="1" applyFill="1" applyBorder="1" applyAlignment="1">
      <alignment horizontal="right" wrapText="1"/>
    </xf>
    <xf numFmtId="0" fontId="19" fillId="0" borderId="29" xfId="5" applyFont="1" applyBorder="1" applyAlignment="1">
      <alignment horizontal="center"/>
    </xf>
    <xf numFmtId="5" fontId="19" fillId="0" borderId="29" xfId="5" applyNumberFormat="1" applyFont="1" applyBorder="1" applyAlignment="1">
      <alignment horizontal="right"/>
    </xf>
    <xf numFmtId="0" fontId="19" fillId="0" borderId="29" xfId="5" applyFont="1" applyBorder="1" applyAlignment="1">
      <alignment horizontal="center" wrapText="1"/>
    </xf>
    <xf numFmtId="42" fontId="30" fillId="0" borderId="29" xfId="5" applyNumberFormat="1" applyFont="1" applyBorder="1" applyAlignment="1">
      <alignment horizontal="center" wrapText="1"/>
    </xf>
    <xf numFmtId="0" fontId="52" fillId="15" borderId="34" xfId="0" applyFont="1" applyFill="1" applyBorder="1" applyAlignment="1">
      <alignment horizontal="right" wrapText="1"/>
    </xf>
    <xf numFmtId="0" fontId="19" fillId="10" borderId="12" xfId="5" applyFont="1" applyFill="1" applyBorder="1" applyAlignment="1">
      <alignment horizontal="center" wrapText="1"/>
    </xf>
    <xf numFmtId="42" fontId="30" fillId="10" borderId="12" xfId="5" applyNumberFormat="1" applyFont="1" applyFill="1" applyBorder="1" applyAlignment="1">
      <alignment horizontal="center" wrapText="1"/>
    </xf>
    <xf numFmtId="0" fontId="19" fillId="5" borderId="12" xfId="5" applyFont="1" applyFill="1" applyBorder="1" applyAlignment="1">
      <alignment horizontal="center" wrapText="1"/>
    </xf>
    <xf numFmtId="42" fontId="19" fillId="5" borderId="12" xfId="5" applyNumberFormat="1" applyFont="1" applyFill="1" applyBorder="1" applyAlignment="1">
      <alignment horizontal="left" wrapText="1"/>
    </xf>
    <xf numFmtId="0" fontId="30" fillId="5" borderId="12" xfId="5" applyFont="1" applyFill="1" applyBorder="1" applyAlignment="1">
      <alignment horizontal="right" vertical="top" wrapText="1"/>
    </xf>
    <xf numFmtId="0" fontId="30" fillId="11" borderId="12" xfId="5" applyFont="1" applyFill="1" applyBorder="1" applyAlignment="1">
      <alignment horizontal="right" vertical="top" wrapText="1"/>
    </xf>
    <xf numFmtId="0" fontId="19" fillId="11" borderId="12" xfId="5" applyFont="1" applyFill="1" applyBorder="1" applyAlignment="1">
      <alignment horizontal="center"/>
    </xf>
    <xf numFmtId="5" fontId="19" fillId="11" borderId="12" xfId="6" applyNumberFormat="1" applyFont="1" applyFill="1" applyBorder="1" applyAlignment="1">
      <alignment horizontal="right"/>
    </xf>
    <xf numFmtId="0" fontId="19" fillId="11" borderId="12" xfId="5" applyFont="1" applyFill="1" applyBorder="1" applyAlignment="1">
      <alignment horizontal="center" wrapText="1"/>
    </xf>
    <xf numFmtId="42" fontId="30" fillId="11" borderId="12" xfId="5" applyNumberFormat="1" applyFont="1" applyFill="1" applyBorder="1" applyAlignment="1">
      <alignment horizontal="center" wrapText="1"/>
    </xf>
    <xf numFmtId="0" fontId="30" fillId="11" borderId="12" xfId="5" applyFont="1" applyFill="1" applyBorder="1" applyAlignment="1">
      <alignment horizontal="right" wrapText="1"/>
    </xf>
    <xf numFmtId="5" fontId="19" fillId="11" borderId="12" xfId="5" applyNumberFormat="1" applyFont="1" applyFill="1" applyBorder="1" applyAlignment="1">
      <alignment horizontal="right"/>
    </xf>
    <xf numFmtId="5" fontId="19" fillId="11" borderId="12" xfId="5" applyNumberFormat="1" applyFont="1" applyFill="1" applyBorder="1" applyAlignment="1">
      <alignment horizontal="center"/>
    </xf>
    <xf numFmtId="0" fontId="30" fillId="0" borderId="12" xfId="5" applyFont="1" applyBorder="1" applyAlignment="1">
      <alignment horizontal="right" wrapText="1"/>
    </xf>
    <xf numFmtId="5" fontId="19" fillId="0" borderId="12" xfId="5" applyNumberFormat="1" applyFont="1" applyBorder="1" applyAlignment="1">
      <alignment horizontal="center"/>
    </xf>
    <xf numFmtId="0" fontId="30" fillId="7" borderId="0" xfId="5" applyFont="1" applyFill="1" applyAlignment="1">
      <alignment vertical="top"/>
    </xf>
    <xf numFmtId="0" fontId="30" fillId="7" borderId="0" xfId="5" applyFont="1" applyFill="1" applyAlignment="1">
      <alignment horizontal="right" wrapText="1"/>
    </xf>
    <xf numFmtId="0" fontId="19" fillId="7" borderId="0" xfId="5" applyFont="1" applyFill="1" applyAlignment="1">
      <alignment horizontal="center" wrapText="1"/>
    </xf>
    <xf numFmtId="42" fontId="30" fillId="7" borderId="0" xfId="5" applyNumberFormat="1" applyFont="1" applyFill="1" applyAlignment="1">
      <alignment horizontal="right" wrapText="1"/>
    </xf>
    <xf numFmtId="5" fontId="27" fillId="6" borderId="0" xfId="5" applyNumberFormat="1" applyFont="1" applyFill="1" applyAlignment="1">
      <alignment horizontal="right"/>
    </xf>
    <xf numFmtId="5" fontId="19" fillId="6" borderId="0" xfId="5" applyNumberFormat="1" applyFont="1" applyFill="1" applyAlignment="1">
      <alignment horizontal="center"/>
    </xf>
    <xf numFmtId="42" fontId="27" fillId="6" borderId="0" xfId="5" applyNumberFormat="1" applyFont="1" applyFill="1" applyAlignment="1">
      <alignment horizontal="right"/>
    </xf>
    <xf numFmtId="0" fontId="27" fillId="8" borderId="0" xfId="5" applyFont="1" applyFill="1" applyAlignment="1">
      <alignment vertical="top"/>
    </xf>
    <xf numFmtId="0" fontId="27" fillId="8" borderId="0" xfId="5" applyFont="1" applyFill="1" applyAlignment="1">
      <alignment horizontal="right" vertical="top"/>
    </xf>
    <xf numFmtId="167" fontId="27" fillId="8" borderId="0" xfId="5" applyNumberFormat="1" applyFont="1" applyFill="1" applyAlignment="1">
      <alignment horizontal="right" vertical="top"/>
    </xf>
    <xf numFmtId="167" fontId="19" fillId="8" borderId="0" xfId="5" applyNumberFormat="1" applyFont="1" applyFill="1" applyAlignment="1">
      <alignment horizontal="center" vertical="top"/>
    </xf>
    <xf numFmtId="42" fontId="27" fillId="8" borderId="0" xfId="5" applyNumberFormat="1" applyFont="1" applyFill="1" applyAlignment="1">
      <alignment horizontal="right" vertical="top"/>
    </xf>
    <xf numFmtId="42" fontId="50" fillId="14" borderId="0" xfId="1" applyNumberFormat="1" applyFont="1" applyFill="1" applyAlignment="1" applyProtection="1">
      <alignment horizontal="right"/>
    </xf>
    <xf numFmtId="0" fontId="33" fillId="0" borderId="0" xfId="5" applyFont="1" applyAlignment="1">
      <alignment horizontal="center" vertical="top" wrapText="1"/>
    </xf>
    <xf numFmtId="42" fontId="32" fillId="0" borderId="0" xfId="5" applyNumberFormat="1" applyFont="1" applyAlignment="1">
      <alignment horizontal="left" vertical="top" wrapText="1"/>
    </xf>
    <xf numFmtId="0" fontId="29" fillId="0" borderId="20" xfId="5" applyFont="1" applyBorder="1"/>
    <xf numFmtId="5" fontId="27" fillId="5" borderId="21" xfId="5" applyNumberFormat="1" applyFont="1" applyFill="1" applyBorder="1" applyAlignment="1">
      <alignment horizontal="right"/>
    </xf>
    <xf numFmtId="5" fontId="19" fillId="5" borderId="21" xfId="5" applyNumberFormat="1" applyFont="1" applyFill="1" applyBorder="1" applyAlignment="1">
      <alignment horizontal="center"/>
    </xf>
    <xf numFmtId="42" fontId="27" fillId="5" borderId="22" xfId="5" applyNumberFormat="1" applyFont="1" applyFill="1" applyBorder="1" applyAlignment="1">
      <alignment horizontal="right"/>
    </xf>
    <xf numFmtId="0" fontId="34" fillId="11" borderId="23" xfId="5" applyFont="1" applyFill="1" applyBorder="1" applyAlignment="1">
      <alignment wrapText="1"/>
    </xf>
    <xf numFmtId="0" fontId="19" fillId="0" borderId="0" xfId="5" applyFont="1" applyAlignment="1">
      <alignment horizontal="center" wrapText="1"/>
    </xf>
    <xf numFmtId="0" fontId="30" fillId="0" borderId="0" xfId="5" applyFont="1" applyAlignment="1">
      <alignment horizontal="center" wrapText="1"/>
    </xf>
    <xf numFmtId="0" fontId="30" fillId="0" borderId="0" xfId="5" applyFont="1" applyAlignment="1">
      <alignment horizontal="center"/>
    </xf>
    <xf numFmtId="0" fontId="30" fillId="0" borderId="0" xfId="5" applyFont="1" applyAlignment="1">
      <alignment horizontal="center" vertical="top"/>
    </xf>
    <xf numFmtId="0" fontId="19" fillId="0" borderId="0" xfId="5" applyFont="1" applyAlignment="1">
      <alignment vertical="top"/>
    </xf>
    <xf numFmtId="0" fontId="19" fillId="0" borderId="0" xfId="5" applyFont="1" applyAlignment="1">
      <alignment horizontal="center" vertical="top"/>
    </xf>
    <xf numFmtId="42" fontId="19" fillId="0" borderId="19" xfId="5" applyNumberFormat="1" applyFont="1" applyBorder="1" applyAlignment="1">
      <alignment vertical="top"/>
    </xf>
    <xf numFmtId="0" fontId="19" fillId="0" borderId="23" xfId="5" applyFont="1" applyBorder="1" applyAlignment="1">
      <alignment wrapText="1"/>
    </xf>
    <xf numFmtId="5" fontId="19" fillId="0" borderId="0" xfId="5" applyNumberFormat="1" applyFont="1" applyAlignment="1">
      <alignment horizontal="right"/>
    </xf>
    <xf numFmtId="1" fontId="19" fillId="0" borderId="0" xfId="5" applyNumberFormat="1" applyFont="1" applyAlignment="1">
      <alignment horizontal="center"/>
    </xf>
    <xf numFmtId="5" fontId="19" fillId="3" borderId="0" xfId="5" applyNumberFormat="1" applyFont="1" applyFill="1" applyAlignment="1">
      <alignment horizontal="right"/>
    </xf>
    <xf numFmtId="0" fontId="19" fillId="0" borderId="0" xfId="5" applyFont="1" applyAlignment="1">
      <alignment horizontal="center"/>
    </xf>
    <xf numFmtId="5" fontId="19" fillId="0" borderId="0" xfId="5" applyNumberFormat="1" applyFont="1"/>
    <xf numFmtId="0" fontId="26" fillId="0" borderId="0" xfId="5" applyFont="1" applyAlignment="1">
      <alignment horizontal="center"/>
    </xf>
    <xf numFmtId="42" fontId="26" fillId="0" borderId="19" xfId="5" applyNumberFormat="1" applyFont="1" applyBorder="1" applyAlignment="1">
      <alignment horizontal="right"/>
    </xf>
    <xf numFmtId="0" fontId="19" fillId="0" borderId="23" xfId="5" applyFont="1" applyBorder="1" applyAlignment="1">
      <alignment vertical="top" wrapText="1"/>
    </xf>
    <xf numFmtId="42" fontId="26" fillId="0" borderId="19" xfId="5" applyNumberFormat="1" applyFont="1" applyBorder="1"/>
    <xf numFmtId="165" fontId="19" fillId="0" borderId="0" xfId="5" applyNumberFormat="1" applyFont="1" applyAlignment="1">
      <alignment horizontal="right"/>
    </xf>
    <xf numFmtId="0" fontId="19" fillId="14" borderId="0" xfId="5" applyFont="1" applyFill="1" applyAlignment="1">
      <alignment horizontal="left" vertical="top" wrapText="1"/>
    </xf>
    <xf numFmtId="42" fontId="19" fillId="14" borderId="0" xfId="5" applyNumberFormat="1" applyFont="1" applyFill="1" applyAlignment="1">
      <alignment horizontal="left" vertical="top" wrapText="1"/>
    </xf>
    <xf numFmtId="0" fontId="36" fillId="0" borderId="23" xfId="5" applyFont="1" applyBorder="1" applyAlignment="1">
      <alignment wrapText="1"/>
    </xf>
    <xf numFmtId="0" fontId="30" fillId="0" borderId="0" xfId="5" applyFont="1" applyAlignment="1">
      <alignment horizontal="center" vertical="top" wrapText="1"/>
    </xf>
    <xf numFmtId="0" fontId="19" fillId="0" borderId="15" xfId="5" applyFont="1" applyBorder="1" applyAlignment="1">
      <alignment horizontal="left" vertical="top" wrapText="1"/>
    </xf>
    <xf numFmtId="0" fontId="19" fillId="0" borderId="15" xfId="5" applyFont="1" applyBorder="1"/>
    <xf numFmtId="0" fontId="19" fillId="0" borderId="15" xfId="5" applyFont="1" applyBorder="1" applyAlignment="1">
      <alignment horizontal="center"/>
    </xf>
    <xf numFmtId="42" fontId="19" fillId="0" borderId="26" xfId="5" applyNumberFormat="1" applyFont="1" applyBorder="1"/>
    <xf numFmtId="0" fontId="19" fillId="14" borderId="0" xfId="5" applyFont="1" applyFill="1"/>
    <xf numFmtId="0" fontId="19" fillId="14" borderId="0" xfId="5" applyFont="1" applyFill="1" applyAlignment="1">
      <alignment horizontal="center"/>
    </xf>
    <xf numFmtId="42" fontId="19" fillId="14" borderId="0" xfId="5" applyNumberFormat="1" applyFont="1" applyFill="1"/>
    <xf numFmtId="0" fontId="29" fillId="5" borderId="20" xfId="5" applyFont="1" applyFill="1" applyBorder="1"/>
    <xf numFmtId="5" fontId="19" fillId="10" borderId="21" xfId="5" applyNumberFormat="1" applyFont="1" applyFill="1" applyBorder="1" applyAlignment="1">
      <alignment horizontal="center"/>
    </xf>
    <xf numFmtId="42" fontId="27" fillId="10" borderId="22" xfId="5" applyNumberFormat="1" applyFont="1" applyFill="1" applyBorder="1" applyAlignment="1">
      <alignment horizontal="right"/>
    </xf>
    <xf numFmtId="0" fontId="19" fillId="0" borderId="15" xfId="5" applyFont="1" applyBorder="1" applyAlignment="1">
      <alignment vertical="top" wrapText="1"/>
    </xf>
    <xf numFmtId="0" fontId="19" fillId="0" borderId="15" xfId="5" applyFont="1" applyBorder="1" applyAlignment="1">
      <alignment horizontal="center" vertical="top" wrapText="1"/>
    </xf>
    <xf numFmtId="42" fontId="19" fillId="0" borderId="26" xfId="5" applyNumberFormat="1" applyFont="1" applyBorder="1" applyAlignment="1">
      <alignment vertical="top" wrapText="1"/>
    </xf>
    <xf numFmtId="0" fontId="19" fillId="0" borderId="0" xfId="5" applyFont="1" applyAlignment="1">
      <alignment horizontal="left" vertical="top" wrapText="1"/>
    </xf>
    <xf numFmtId="0" fontId="19" fillId="0" borderId="0" xfId="5" applyFont="1" applyAlignment="1">
      <alignment vertical="top" wrapText="1"/>
    </xf>
    <xf numFmtId="0" fontId="19" fillId="0" borderId="0" xfId="5" applyFont="1" applyAlignment="1">
      <alignment horizontal="center" vertical="top" wrapText="1"/>
    </xf>
    <xf numFmtId="42" fontId="19" fillId="0" borderId="0" xfId="5" applyNumberFormat="1" applyFont="1" applyAlignment="1">
      <alignment vertical="top" wrapText="1"/>
    </xf>
    <xf numFmtId="42" fontId="19" fillId="0" borderId="19" xfId="5" applyNumberFormat="1" applyFont="1" applyBorder="1" applyAlignment="1">
      <alignment vertical="top" wrapText="1"/>
    </xf>
    <xf numFmtId="5" fontId="19" fillId="14" borderId="0" xfId="5" applyNumberFormat="1" applyFont="1" applyFill="1" applyAlignment="1">
      <alignment horizontal="left" vertical="top" wrapText="1"/>
    </xf>
    <xf numFmtId="0" fontId="27" fillId="0" borderId="20" xfId="5" applyFont="1" applyBorder="1" applyAlignment="1">
      <alignment wrapText="1"/>
    </xf>
    <xf numFmtId="5" fontId="27" fillId="5" borderId="21" xfId="5" applyNumberFormat="1" applyFont="1" applyFill="1" applyBorder="1"/>
    <xf numFmtId="42" fontId="27" fillId="5" borderId="22" xfId="5" applyNumberFormat="1" applyFont="1" applyFill="1" applyBorder="1"/>
    <xf numFmtId="0" fontId="38" fillId="0" borderId="23" xfId="5" applyFont="1" applyBorder="1" applyAlignment="1">
      <alignment wrapText="1"/>
    </xf>
    <xf numFmtId="0" fontId="19" fillId="0" borderId="0" xfId="5" applyFont="1"/>
    <xf numFmtId="42" fontId="19" fillId="0" borderId="19" xfId="5" applyNumberFormat="1" applyFont="1" applyBorder="1"/>
    <xf numFmtId="1" fontId="19" fillId="0" borderId="0" xfId="5" applyNumberFormat="1" applyFont="1" applyAlignment="1">
      <alignment horizontal="center" wrapText="1"/>
    </xf>
    <xf numFmtId="0" fontId="19" fillId="0" borderId="23" xfId="5" applyFont="1" applyBorder="1" applyAlignment="1">
      <alignment horizontal="left" wrapText="1"/>
    </xf>
    <xf numFmtId="7" fontId="19" fillId="0" borderId="0" xfId="5" applyNumberFormat="1" applyFont="1" applyAlignment="1">
      <alignment horizontal="right"/>
    </xf>
    <xf numFmtId="0" fontId="19" fillId="11" borderId="23" xfId="5" applyFont="1" applyFill="1" applyBorder="1" applyAlignment="1">
      <alignment wrapText="1"/>
    </xf>
    <xf numFmtId="165" fontId="19" fillId="11" borderId="0" xfId="5" applyNumberFormat="1" applyFont="1" applyFill="1" applyAlignment="1">
      <alignment horizontal="right"/>
    </xf>
    <xf numFmtId="1" fontId="19" fillId="11" borderId="0" xfId="5" applyNumberFormat="1" applyFont="1" applyFill="1" applyAlignment="1">
      <alignment horizontal="center" wrapText="1"/>
    </xf>
    <xf numFmtId="5" fontId="19" fillId="12" borderId="0" xfId="5" applyNumberFormat="1" applyFont="1" applyFill="1" applyAlignment="1">
      <alignment horizontal="right"/>
    </xf>
    <xf numFmtId="1" fontId="19" fillId="11" borderId="0" xfId="5" applyNumberFormat="1" applyFont="1" applyFill="1" applyAlignment="1">
      <alignment horizontal="center"/>
    </xf>
    <xf numFmtId="5" fontId="19" fillId="11" borderId="0" xfId="5" applyNumberFormat="1" applyFont="1" applyFill="1"/>
    <xf numFmtId="0" fontId="33" fillId="11" borderId="0" xfId="0" applyFont="1" applyFill="1"/>
    <xf numFmtId="0" fontId="26" fillId="11" borderId="0" xfId="5" applyFont="1" applyFill="1" applyAlignment="1">
      <alignment horizontal="center"/>
    </xf>
    <xf numFmtId="0" fontId="29" fillId="14" borderId="0" xfId="5" applyFont="1" applyFill="1" applyAlignment="1">
      <alignment horizontal="left" vertical="top" wrapText="1"/>
    </xf>
    <xf numFmtId="42" fontId="29" fillId="14" borderId="0" xfId="5" applyNumberFormat="1" applyFont="1" applyFill="1" applyAlignment="1">
      <alignment horizontal="left" vertical="top" wrapText="1"/>
    </xf>
    <xf numFmtId="42" fontId="19" fillId="0" borderId="0" xfId="5" applyNumberFormat="1" applyFont="1"/>
    <xf numFmtId="42" fontId="50" fillId="14" borderId="0" xfId="5" applyNumberFormat="1" applyFont="1" applyFill="1" applyAlignment="1">
      <alignment horizontal="right"/>
    </xf>
    <xf numFmtId="7" fontId="19" fillId="0" borderId="21" xfId="5" applyNumberFormat="1" applyFont="1" applyBorder="1" applyAlignment="1">
      <alignment horizontal="right"/>
    </xf>
    <xf numFmtId="5" fontId="19" fillId="0" borderId="21" xfId="5" applyNumberFormat="1" applyFont="1" applyBorder="1" applyAlignment="1">
      <alignment horizontal="center"/>
    </xf>
    <xf numFmtId="42" fontId="27" fillId="0" borderId="22" xfId="5" applyNumberFormat="1" applyFont="1" applyBorder="1" applyAlignment="1">
      <alignment horizontal="right"/>
    </xf>
    <xf numFmtId="5" fontId="19" fillId="0" borderId="0" xfId="5" applyNumberFormat="1" applyFont="1" applyAlignment="1">
      <alignment horizontal="center"/>
    </xf>
    <xf numFmtId="42" fontId="27" fillId="0" borderId="19" xfId="5" applyNumberFormat="1" applyFont="1" applyBorder="1" applyAlignment="1">
      <alignment horizontal="right"/>
    </xf>
    <xf numFmtId="7" fontId="19" fillId="0" borderId="0" xfId="5" applyNumberFormat="1" applyFont="1" applyAlignment="1">
      <alignment horizontal="right" wrapText="1"/>
    </xf>
    <xf numFmtId="42" fontId="19" fillId="0" borderId="0" xfId="5" applyNumberFormat="1" applyFont="1" applyAlignment="1">
      <alignment horizontal="left" wrapText="1"/>
    </xf>
    <xf numFmtId="0" fontId="19" fillId="0" borderId="0" xfId="5" applyFont="1" applyAlignment="1">
      <alignment horizontal="left" wrapText="1"/>
    </xf>
    <xf numFmtId="0" fontId="35" fillId="9" borderId="20" xfId="5" applyFont="1" applyFill="1" applyBorder="1"/>
    <xf numFmtId="44" fontId="27" fillId="9" borderId="21" xfId="5" applyNumberFormat="1" applyFont="1" applyFill="1" applyBorder="1" applyAlignment="1">
      <alignment horizontal="right" wrapText="1"/>
    </xf>
    <xf numFmtId="0" fontId="19" fillId="9" borderId="21" xfId="5" applyFont="1" applyFill="1" applyBorder="1" applyAlignment="1">
      <alignment horizontal="center" vertical="top" wrapText="1"/>
    </xf>
    <xf numFmtId="42" fontId="32" fillId="9" borderId="22" xfId="5" applyNumberFormat="1" applyFont="1" applyFill="1" applyBorder="1" applyAlignment="1">
      <alignment horizontal="left" vertical="top" wrapText="1"/>
    </xf>
    <xf numFmtId="0" fontId="46" fillId="0" borderId="23" xfId="5" applyFont="1" applyBorder="1" applyAlignment="1">
      <alignment vertical="center"/>
    </xf>
    <xf numFmtId="0" fontId="29" fillId="0" borderId="23" xfId="5" applyFont="1" applyBorder="1" applyAlignment="1">
      <alignment vertical="top" wrapText="1"/>
    </xf>
    <xf numFmtId="0" fontId="19" fillId="0" borderId="19" xfId="5" applyFont="1" applyBorder="1" applyAlignment="1">
      <alignment vertical="top" wrapText="1"/>
    </xf>
    <xf numFmtId="0" fontId="19" fillId="0" borderId="0" xfId="5" applyFont="1" applyAlignment="1">
      <alignment horizontal="left" vertical="top"/>
    </xf>
    <xf numFmtId="0" fontId="19" fillId="0" borderId="0" xfId="5" applyFont="1" applyAlignment="1">
      <alignment horizontal="right" vertical="top" wrapText="1"/>
    </xf>
    <xf numFmtId="42" fontId="19" fillId="0" borderId="19" xfId="5" applyNumberFormat="1" applyFont="1" applyBorder="1" applyAlignment="1">
      <alignment horizontal="left" vertical="top" wrapText="1"/>
    </xf>
    <xf numFmtId="44" fontId="19" fillId="0" borderId="6" xfId="1" applyFont="1" applyBorder="1" applyAlignment="1" applyProtection="1">
      <alignment horizontal="left" wrapText="1"/>
    </xf>
    <xf numFmtId="0" fontId="19" fillId="0" borderId="0" xfId="5" applyFont="1" applyAlignment="1">
      <alignment wrapText="1"/>
    </xf>
    <xf numFmtId="0" fontId="26" fillId="14" borderId="20" xfId="5" applyFont="1" applyFill="1" applyBorder="1"/>
    <xf numFmtId="0" fontId="32" fillId="14" borderId="21" xfId="5" applyFont="1" applyFill="1" applyBorder="1" applyAlignment="1">
      <alignment horizontal="left" vertical="top" wrapText="1"/>
    </xf>
    <xf numFmtId="6" fontId="32" fillId="14" borderId="21" xfId="5" applyNumberFormat="1" applyFont="1" applyFill="1" applyBorder="1" applyAlignment="1">
      <alignment horizontal="left" vertical="top" wrapText="1"/>
    </xf>
    <xf numFmtId="0" fontId="33" fillId="14" borderId="21" xfId="5" applyFont="1" applyFill="1" applyBorder="1" applyAlignment="1">
      <alignment horizontal="center" vertical="top" wrapText="1"/>
    </xf>
    <xf numFmtId="42" fontId="32" fillId="14" borderId="22" xfId="5" applyNumberFormat="1" applyFont="1" applyFill="1" applyBorder="1" applyAlignment="1">
      <alignment horizontal="left" vertical="top" wrapText="1"/>
    </xf>
    <xf numFmtId="0" fontId="29" fillId="9" borderId="20" xfId="0" applyFont="1" applyFill="1" applyBorder="1" applyAlignment="1">
      <alignment horizontal="left" vertical="center" wrapText="1"/>
    </xf>
    <xf numFmtId="167" fontId="27" fillId="9" borderId="21" xfId="5" applyNumberFormat="1" applyFont="1" applyFill="1" applyBorder="1" applyAlignment="1">
      <alignment horizontal="left" wrapText="1"/>
    </xf>
    <xf numFmtId="167" fontId="19" fillId="9" borderId="21" xfId="5" applyNumberFormat="1" applyFont="1" applyFill="1" applyBorder="1" applyAlignment="1">
      <alignment horizontal="center" wrapText="1"/>
    </xf>
    <xf numFmtId="42" fontId="27" fillId="9" borderId="22" xfId="5" applyNumberFormat="1" applyFont="1" applyFill="1" applyBorder="1" applyAlignment="1">
      <alignment horizontal="left" wrapText="1"/>
    </xf>
    <xf numFmtId="0" fontId="53" fillId="0" borderId="23" xfId="5" applyFont="1" applyBorder="1" applyAlignment="1">
      <alignment vertical="center"/>
    </xf>
    <xf numFmtId="0" fontId="26" fillId="0" borderId="0" xfId="5" applyFont="1" applyAlignment="1">
      <alignment horizontal="left" vertical="top"/>
    </xf>
    <xf numFmtId="0" fontId="29" fillId="11" borderId="23" xfId="5" applyFont="1" applyFill="1" applyBorder="1" applyAlignment="1">
      <alignment vertical="top" wrapText="1"/>
    </xf>
    <xf numFmtId="0" fontId="30" fillId="0" borderId="0" xfId="5" applyFont="1" applyAlignment="1">
      <alignment vertical="top" wrapText="1"/>
    </xf>
    <xf numFmtId="0" fontId="30" fillId="0" borderId="19" xfId="5" applyFont="1" applyBorder="1" applyAlignment="1">
      <alignment vertical="top" wrapText="1"/>
    </xf>
    <xf numFmtId="42" fontId="30" fillId="0" borderId="19" xfId="5" applyNumberFormat="1" applyFont="1" applyBorder="1" applyAlignment="1">
      <alignment horizontal="left" vertical="top" wrapText="1"/>
    </xf>
    <xf numFmtId="0" fontId="30" fillId="14" borderId="0" xfId="5" applyFont="1" applyFill="1" applyAlignment="1">
      <alignment horizontal="left" vertical="top" wrapText="1"/>
    </xf>
    <xf numFmtId="0" fontId="19" fillId="14" borderId="0" xfId="5" applyFont="1" applyFill="1" applyAlignment="1">
      <alignment horizontal="center" vertical="top" wrapText="1"/>
    </xf>
    <xf numFmtId="42" fontId="30" fillId="14" borderId="0" xfId="5" applyNumberFormat="1" applyFont="1" applyFill="1" applyAlignment="1">
      <alignment horizontal="left" vertical="top" wrapText="1"/>
    </xf>
    <xf numFmtId="0" fontId="29" fillId="9" borderId="20" xfId="0" applyFont="1" applyFill="1" applyBorder="1" applyAlignment="1">
      <alignment vertical="center" wrapText="1"/>
    </xf>
    <xf numFmtId="42" fontId="27" fillId="9" borderId="21" xfId="5" applyNumberFormat="1" applyFont="1" applyFill="1" applyBorder="1" applyAlignment="1">
      <alignment horizontal="right" wrapText="1"/>
    </xf>
    <xf numFmtId="0" fontId="19" fillId="11" borderId="23" xfId="5" applyFont="1" applyFill="1" applyBorder="1" applyAlignment="1">
      <alignment horizontal="left" vertical="top" wrapText="1"/>
    </xf>
    <xf numFmtId="0" fontId="19" fillId="11" borderId="23" xfId="0" applyFont="1" applyFill="1" applyBorder="1" applyAlignment="1">
      <alignment vertical="center" wrapText="1"/>
    </xf>
    <xf numFmtId="0" fontId="46" fillId="0" borderId="23" xfId="5" applyFont="1" applyBorder="1" applyAlignment="1">
      <alignment vertical="center" wrapText="1"/>
    </xf>
    <xf numFmtId="0" fontId="53" fillId="0" borderId="23" xfId="5" applyFont="1" applyBorder="1" applyAlignment="1">
      <alignment vertical="top" wrapText="1"/>
    </xf>
    <xf numFmtId="0" fontId="30" fillId="0" borderId="0" xfId="5" applyFont="1" applyAlignment="1">
      <alignment horizontal="left" vertical="top" wrapText="1"/>
    </xf>
    <xf numFmtId="42" fontId="19" fillId="0" borderId="6" xfId="1" applyNumberFormat="1" applyFont="1" applyBorder="1" applyAlignment="1" applyProtection="1">
      <alignment horizontal="left" vertical="top" wrapText="1"/>
    </xf>
    <xf numFmtId="0" fontId="29" fillId="7" borderId="20" xfId="5" applyFont="1" applyFill="1" applyBorder="1" applyAlignment="1">
      <alignment vertical="top" wrapText="1"/>
    </xf>
    <xf numFmtId="5" fontId="27" fillId="7" borderId="21" xfId="5" applyNumberFormat="1" applyFont="1" applyFill="1" applyBorder="1" applyAlignment="1">
      <alignment horizontal="right" wrapText="1"/>
    </xf>
    <xf numFmtId="167" fontId="27" fillId="7" borderId="21" xfId="5" applyNumberFormat="1" applyFont="1" applyFill="1" applyBorder="1" applyAlignment="1">
      <alignment horizontal="left" wrapText="1"/>
    </xf>
    <xf numFmtId="167" fontId="19" fillId="7" borderId="21" xfId="5" applyNumberFormat="1" applyFont="1" applyFill="1" applyBorder="1" applyAlignment="1">
      <alignment horizontal="center" wrapText="1"/>
    </xf>
    <xf numFmtId="42" fontId="27" fillId="7" borderId="22" xfId="5" applyNumberFormat="1" applyFont="1" applyFill="1" applyBorder="1" applyAlignment="1">
      <alignment horizontal="left" wrapText="1"/>
    </xf>
    <xf numFmtId="5" fontId="27" fillId="0" borderId="0" xfId="5" applyNumberFormat="1" applyFont="1" applyAlignment="1">
      <alignment wrapText="1"/>
    </xf>
    <xf numFmtId="42" fontId="27" fillId="0" borderId="19" xfId="5" applyNumberFormat="1" applyFont="1" applyBorder="1" applyAlignment="1">
      <alignment wrapText="1"/>
    </xf>
    <xf numFmtId="167" fontId="27" fillId="0" borderId="0" xfId="5" applyNumberFormat="1" applyFont="1" applyAlignment="1">
      <alignment horizontal="left" wrapText="1"/>
    </xf>
    <xf numFmtId="167" fontId="19" fillId="0" borderId="0" xfId="5" applyNumberFormat="1" applyFont="1" applyAlignment="1">
      <alignment horizontal="center" wrapText="1"/>
    </xf>
    <xf numFmtId="42" fontId="27" fillId="0" borderId="19" xfId="5" applyNumberFormat="1" applyFont="1" applyBorder="1" applyAlignment="1">
      <alignment horizontal="left" wrapText="1"/>
    </xf>
    <xf numFmtId="0" fontId="46" fillId="0" borderId="23" xfId="5" applyFont="1" applyBorder="1" applyAlignment="1">
      <alignment vertical="top" wrapText="1"/>
    </xf>
    <xf numFmtId="0" fontId="19" fillId="0" borderId="23" xfId="5" applyFont="1" applyBorder="1" applyAlignment="1">
      <alignment horizontal="left" vertical="top" wrapText="1"/>
    </xf>
    <xf numFmtId="164" fontId="19" fillId="11" borderId="0" xfId="5" applyNumberFormat="1" applyFont="1" applyFill="1" applyAlignment="1">
      <alignment horizontal="right"/>
    </xf>
    <xf numFmtId="164" fontId="19" fillId="11" borderId="0" xfId="1" applyNumberFormat="1" applyFont="1" applyFill="1" applyBorder="1" applyAlignment="1" applyProtection="1">
      <alignment horizontal="right"/>
    </xf>
    <xf numFmtId="0" fontId="19" fillId="0" borderId="24" xfId="5" applyFont="1" applyBorder="1" applyAlignment="1">
      <alignment horizontal="left" vertical="top" wrapText="1"/>
    </xf>
    <xf numFmtId="0" fontId="19" fillId="0" borderId="6" xfId="5" applyFont="1" applyBorder="1" applyAlignment="1">
      <alignment horizontal="left" vertical="top" wrapText="1"/>
    </xf>
    <xf numFmtId="0" fontId="30" fillId="0" borderId="6" xfId="5" applyFont="1" applyBorder="1" applyAlignment="1">
      <alignment horizontal="left" vertical="top" wrapText="1"/>
    </xf>
    <xf numFmtId="7" fontId="19" fillId="0" borderId="6" xfId="5" applyNumberFormat="1" applyFont="1" applyBorder="1" applyAlignment="1">
      <alignment horizontal="right" vertical="center"/>
    </xf>
    <xf numFmtId="0" fontId="30" fillId="7" borderId="20" xfId="5" applyFont="1" applyFill="1" applyBorder="1" applyAlignment="1">
      <alignment wrapText="1"/>
    </xf>
    <xf numFmtId="0" fontId="30" fillId="0" borderId="23" xfId="5" applyFont="1" applyBorder="1" applyAlignment="1">
      <alignment wrapText="1"/>
    </xf>
    <xf numFmtId="0" fontId="30" fillId="0" borderId="0" xfId="5" applyFont="1" applyAlignment="1">
      <alignment wrapText="1"/>
    </xf>
    <xf numFmtId="0" fontId="19" fillId="0" borderId="0" xfId="5" applyFont="1" applyAlignment="1">
      <alignment horizontal="left"/>
    </xf>
    <xf numFmtId="0" fontId="30" fillId="0" borderId="23" xfId="5" applyFont="1" applyBorder="1" applyAlignment="1">
      <alignment horizontal="left" vertical="top" wrapText="1"/>
    </xf>
    <xf numFmtId="7" fontId="19" fillId="11" borderId="0" xfId="5" applyNumberFormat="1" applyFont="1" applyFill="1" applyAlignment="1">
      <alignment horizontal="right"/>
    </xf>
    <xf numFmtId="0" fontId="30" fillId="0" borderId="25" xfId="5" applyFont="1" applyBorder="1" applyAlignment="1">
      <alignment vertical="top" wrapText="1"/>
    </xf>
    <xf numFmtId="0" fontId="19" fillId="0" borderId="15" xfId="5" applyFont="1" applyBorder="1" applyAlignment="1">
      <alignment horizontal="left" vertical="top"/>
    </xf>
    <xf numFmtId="0" fontId="30" fillId="0" borderId="15" xfId="5" applyFont="1" applyBorder="1" applyAlignment="1">
      <alignment vertical="top" wrapText="1"/>
    </xf>
    <xf numFmtId="42" fontId="30" fillId="0" borderId="26" xfId="5" applyNumberFormat="1" applyFont="1" applyBorder="1" applyAlignment="1">
      <alignment horizontal="left" vertical="top" wrapText="1"/>
    </xf>
    <xf numFmtId="0" fontId="30" fillId="7" borderId="21" xfId="5" applyFont="1" applyFill="1" applyBorder="1" applyAlignment="1">
      <alignment horizontal="left" wrapText="1"/>
    </xf>
    <xf numFmtId="5" fontId="27" fillId="7" borderId="21" xfId="5" applyNumberFormat="1" applyFont="1" applyFill="1" applyBorder="1" applyAlignment="1">
      <alignment horizontal="right"/>
    </xf>
    <xf numFmtId="0" fontId="41" fillId="0" borderId="23" xfId="5" applyFont="1" applyBorder="1" applyAlignment="1">
      <alignment vertical="top" wrapText="1"/>
    </xf>
    <xf numFmtId="7" fontId="19" fillId="0" borderId="6" xfId="5" applyNumberFormat="1" applyFont="1" applyBorder="1" applyAlignment="1">
      <alignment horizontal="right"/>
    </xf>
    <xf numFmtId="0" fontId="19" fillId="0" borderId="23" xfId="5" applyFont="1" applyBorder="1" applyAlignment="1">
      <alignment horizontal="left" vertical="top"/>
    </xf>
    <xf numFmtId="0" fontId="30" fillId="5" borderId="21" xfId="5" applyFont="1" applyFill="1" applyBorder="1" applyAlignment="1">
      <alignment horizontal="left" wrapText="1"/>
    </xf>
    <xf numFmtId="43" fontId="19" fillId="11" borderId="0" xfId="12" applyFont="1" applyFill="1" applyBorder="1" applyAlignment="1" applyProtection="1">
      <alignment horizontal="right"/>
    </xf>
    <xf numFmtId="0" fontId="19" fillId="11" borderId="0" xfId="5" applyFont="1" applyFill="1"/>
    <xf numFmtId="5" fontId="19" fillId="11" borderId="0" xfId="6" applyNumberFormat="1" applyFont="1" applyFill="1" applyAlignment="1">
      <alignment horizontal="right"/>
    </xf>
    <xf numFmtId="0" fontId="19" fillId="11" borderId="0" xfId="5" applyFont="1" applyFill="1" applyAlignment="1">
      <alignment horizontal="center"/>
    </xf>
    <xf numFmtId="42" fontId="19" fillId="11" borderId="19" xfId="5" applyNumberFormat="1" applyFont="1" applyFill="1" applyBorder="1"/>
    <xf numFmtId="43" fontId="19" fillId="11" borderId="0" xfId="12" applyFont="1" applyFill="1" applyBorder="1" applyAlignment="1" applyProtection="1">
      <alignment wrapText="1"/>
    </xf>
    <xf numFmtId="0" fontId="29" fillId="7" borderId="23" xfId="5" applyFont="1" applyFill="1" applyBorder="1"/>
    <xf numFmtId="5" fontId="27" fillId="7" borderId="0" xfId="5" applyNumberFormat="1" applyFont="1" applyFill="1" applyAlignment="1">
      <alignment horizontal="right" wrapText="1"/>
    </xf>
    <xf numFmtId="167" fontId="27" fillId="7" borderId="0" xfId="5" applyNumberFormat="1" applyFont="1" applyFill="1" applyAlignment="1">
      <alignment horizontal="left" wrapText="1"/>
    </xf>
    <xf numFmtId="167" fontId="27" fillId="7" borderId="0" xfId="5" applyNumberFormat="1" applyFont="1" applyFill="1" applyAlignment="1">
      <alignment horizontal="center" wrapText="1"/>
    </xf>
    <xf numFmtId="42" fontId="27" fillId="7" borderId="19" xfId="5" applyNumberFormat="1" applyFont="1" applyFill="1" applyBorder="1" applyAlignment="1">
      <alignment horizontal="left" wrapText="1"/>
    </xf>
    <xf numFmtId="0" fontId="19" fillId="5" borderId="0" xfId="5" applyFont="1" applyFill="1" applyAlignment="1">
      <alignment horizontal="left" wrapText="1"/>
    </xf>
    <xf numFmtId="167" fontId="27" fillId="0" borderId="0" xfId="5" applyNumberFormat="1" applyFont="1" applyAlignment="1">
      <alignment horizontal="center" wrapText="1"/>
    </xf>
    <xf numFmtId="167" fontId="27" fillId="5" borderId="0" xfId="5" applyNumberFormat="1" applyFont="1" applyFill="1" applyAlignment="1">
      <alignment horizontal="left" wrapText="1"/>
    </xf>
    <xf numFmtId="7" fontId="19" fillId="0" borderId="0" xfId="5" applyNumberFormat="1" applyFont="1" applyAlignment="1">
      <alignment horizontal="right" vertical="top" wrapText="1"/>
    </xf>
    <xf numFmtId="7" fontId="19" fillId="0" borderId="0" xfId="5" applyNumberFormat="1" applyFont="1" applyAlignment="1">
      <alignment vertical="top" wrapText="1"/>
    </xf>
    <xf numFmtId="0" fontId="19" fillId="5" borderId="24" xfId="5" applyFont="1" applyFill="1" applyBorder="1" applyAlignment="1">
      <alignment horizontal="left" vertical="top" wrapText="1"/>
    </xf>
    <xf numFmtId="7" fontId="19" fillId="5" borderId="6" xfId="5" applyNumberFormat="1" applyFont="1" applyFill="1" applyBorder="1" applyAlignment="1">
      <alignment horizontal="right"/>
    </xf>
    <xf numFmtId="5" fontId="27" fillId="7" borderId="0" xfId="5" applyNumberFormat="1" applyFont="1" applyFill="1" applyAlignment="1">
      <alignment horizontal="right"/>
    </xf>
    <xf numFmtId="164" fontId="35" fillId="7" borderId="0" xfId="5" applyNumberFormat="1" applyFont="1" applyFill="1"/>
    <xf numFmtId="0" fontId="26" fillId="7" borderId="0" xfId="5" applyFont="1" applyFill="1"/>
    <xf numFmtId="42" fontId="26" fillId="7" borderId="19" xfId="5" applyNumberFormat="1" applyFont="1" applyFill="1" applyBorder="1"/>
    <xf numFmtId="0" fontId="32" fillId="0" borderId="0" xfId="5" applyFont="1" applyAlignment="1">
      <alignment horizontal="left" vertical="top" wrapText="1"/>
    </xf>
    <xf numFmtId="42" fontId="32" fillId="0" borderId="19" xfId="5" applyNumberFormat="1" applyFont="1" applyBorder="1" applyAlignment="1">
      <alignment horizontal="left" vertical="top" wrapText="1"/>
    </xf>
    <xf numFmtId="0" fontId="33" fillId="0" borderId="0" xfId="5" applyFont="1" applyAlignment="1">
      <alignment horizontal="left" wrapText="1"/>
    </xf>
    <xf numFmtId="42" fontId="41" fillId="0" borderId="19" xfId="5" applyNumberFormat="1" applyFont="1" applyBorder="1" applyAlignment="1">
      <alignment vertical="top" wrapText="1"/>
    </xf>
    <xf numFmtId="0" fontId="29" fillId="0" borderId="23" xfId="5" applyFont="1" applyBorder="1" applyAlignment="1">
      <alignment horizontal="left" vertical="top" wrapText="1"/>
    </xf>
    <xf numFmtId="0" fontId="32" fillId="0" borderId="0" xfId="5" applyFont="1" applyAlignment="1">
      <alignment horizontal="center" wrapText="1"/>
    </xf>
    <xf numFmtId="43" fontId="19" fillId="0" borderId="0" xfId="12" applyFont="1" applyFill="1" applyBorder="1" applyAlignment="1" applyProtection="1">
      <alignment horizontal="right"/>
    </xf>
    <xf numFmtId="5" fontId="44" fillId="0" borderId="0" xfId="0" applyNumberFormat="1" applyFont="1"/>
    <xf numFmtId="0" fontId="19" fillId="0" borderId="0" xfId="5" applyFont="1" applyAlignment="1">
      <alignment horizontal="right" wrapText="1"/>
    </xf>
    <xf numFmtId="5" fontId="44" fillId="0" borderId="6" xfId="0" applyNumberFormat="1" applyFont="1" applyBorder="1"/>
    <xf numFmtId="0" fontId="44" fillId="0" borderId="23" xfId="0" applyFont="1" applyBorder="1" applyAlignment="1">
      <alignment wrapText="1"/>
    </xf>
    <xf numFmtId="0" fontId="26" fillId="0" borderId="23" xfId="5" applyFont="1" applyBorder="1"/>
    <xf numFmtId="5" fontId="19" fillId="0" borderId="6" xfId="5" applyNumberFormat="1" applyFont="1" applyBorder="1" applyAlignment="1">
      <alignment horizontal="right"/>
    </xf>
    <xf numFmtId="0" fontId="32" fillId="0" borderId="15" xfId="5" applyFont="1" applyBorder="1" applyAlignment="1">
      <alignment horizontal="left" vertical="top" wrapText="1"/>
    </xf>
    <xf numFmtId="42" fontId="32" fillId="0" borderId="26" xfId="5" applyNumberFormat="1" applyFont="1" applyBorder="1" applyAlignment="1">
      <alignment horizontal="left" vertical="top" wrapText="1"/>
    </xf>
    <xf numFmtId="0" fontId="41" fillId="0" borderId="20" xfId="5" applyFont="1" applyBorder="1" applyAlignment="1">
      <alignment horizontal="left" vertical="top" wrapText="1"/>
    </xf>
    <xf numFmtId="0" fontId="19" fillId="0" borderId="21" xfId="5" applyFont="1" applyBorder="1" applyAlignment="1">
      <alignment horizontal="left" vertical="top" wrapText="1"/>
    </xf>
    <xf numFmtId="0" fontId="30" fillId="0" borderId="21" xfId="5" applyFont="1" applyBorder="1" applyAlignment="1">
      <alignment horizontal="left" vertical="top" wrapText="1"/>
    </xf>
    <xf numFmtId="0" fontId="26" fillId="0" borderId="21" xfId="5" applyFont="1" applyBorder="1"/>
    <xf numFmtId="42" fontId="26" fillId="0" borderId="22" xfId="5" applyNumberFormat="1" applyFont="1" applyBorder="1"/>
    <xf numFmtId="0" fontId="30" fillId="0" borderId="0" xfId="5" applyFont="1" applyAlignment="1">
      <alignment horizontal="left" wrapText="1"/>
    </xf>
    <xf numFmtId="5" fontId="27" fillId="0" borderId="0" xfId="5" applyNumberFormat="1" applyFont="1" applyAlignment="1">
      <alignment horizontal="right"/>
    </xf>
    <xf numFmtId="0" fontId="27" fillId="0" borderId="0" xfId="5" applyFont="1" applyAlignment="1">
      <alignment horizontal="right" vertical="top" wrapText="1"/>
    </xf>
    <xf numFmtId="42" fontId="32" fillId="0" borderId="19" xfId="12" applyNumberFormat="1" applyFont="1" applyFill="1" applyBorder="1" applyAlignment="1" applyProtection="1">
      <alignment horizontal="left" vertical="top" wrapText="1"/>
    </xf>
    <xf numFmtId="7" fontId="26" fillId="0" borderId="21" xfId="5" applyNumberFormat="1" applyFont="1" applyBorder="1"/>
    <xf numFmtId="0" fontId="19" fillId="0" borderId="21" xfId="5" applyFont="1" applyBorder="1" applyAlignment="1">
      <alignment horizontal="center" vertical="top" wrapText="1"/>
    </xf>
    <xf numFmtId="42" fontId="30" fillId="0" borderId="22" xfId="5" applyNumberFormat="1" applyFont="1" applyBorder="1" applyAlignment="1">
      <alignment horizontal="left" vertical="top" wrapText="1"/>
    </xf>
    <xf numFmtId="0" fontId="19" fillId="0" borderId="23" xfId="0" applyFont="1" applyBorder="1" applyAlignment="1">
      <alignment vertical="center" wrapText="1"/>
    </xf>
    <xf numFmtId="0" fontId="19" fillId="0" borderId="0" xfId="0" applyFont="1" applyAlignment="1">
      <alignment vertical="center" wrapText="1"/>
    </xf>
    <xf numFmtId="0" fontId="19" fillId="0" borderId="0" xfId="0" applyFont="1" applyAlignment="1">
      <alignment horizontal="right" vertical="center" wrapText="1"/>
    </xf>
    <xf numFmtId="0" fontId="19" fillId="0" borderId="23" xfId="0" applyFont="1" applyBorder="1" applyAlignment="1">
      <alignment horizontal="center" vertical="center" wrapText="1"/>
    </xf>
    <xf numFmtId="0" fontId="19" fillId="0" borderId="0" xfId="0" applyFont="1" applyAlignment="1">
      <alignment horizontal="center" vertical="center" wrapText="1"/>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17" xfId="5" applyFont="1" applyBorder="1" applyAlignment="1">
      <alignment vertical="center" wrapText="1"/>
    </xf>
    <xf numFmtId="0" fontId="26" fillId="0" borderId="7" xfId="5" applyFont="1" applyBorder="1"/>
    <xf numFmtId="0" fontId="30" fillId="0" borderId="7" xfId="5" applyFont="1" applyBorder="1" applyAlignment="1">
      <alignment horizontal="left" vertical="top" wrapText="1"/>
    </xf>
    <xf numFmtId="5" fontId="19" fillId="0" borderId="7" xfId="5" applyNumberFormat="1" applyFont="1" applyBorder="1" applyAlignment="1">
      <alignment horizontal="right" vertical="center"/>
    </xf>
    <xf numFmtId="0" fontId="19" fillId="0" borderId="7" xfId="5" applyFont="1" applyBorder="1" applyAlignment="1">
      <alignment horizontal="center" vertical="center" wrapText="1"/>
    </xf>
    <xf numFmtId="42" fontId="30" fillId="0" borderId="18" xfId="5" applyNumberFormat="1" applyFont="1" applyBorder="1" applyAlignment="1">
      <alignment horizontal="left" vertical="top" wrapText="1"/>
    </xf>
    <xf numFmtId="0" fontId="19" fillId="5" borderId="0" xfId="5" applyFont="1" applyFill="1" applyAlignment="1">
      <alignment wrapText="1"/>
    </xf>
    <xf numFmtId="0" fontId="26" fillId="5" borderId="0" xfId="5" applyFont="1" applyFill="1"/>
    <xf numFmtId="5" fontId="19" fillId="5" borderId="0" xfId="5" applyNumberFormat="1" applyFont="1" applyFill="1" applyAlignment="1">
      <alignment horizontal="right"/>
    </xf>
    <xf numFmtId="0" fontId="19" fillId="5" borderId="0" xfId="5" applyFont="1" applyFill="1"/>
    <xf numFmtId="42" fontId="19" fillId="11" borderId="0" xfId="5" applyNumberFormat="1" applyFont="1" applyFill="1"/>
    <xf numFmtId="0" fontId="19" fillId="5" borderId="0" xfId="0" applyFont="1" applyFill="1"/>
    <xf numFmtId="6" fontId="19" fillId="5" borderId="0" xfId="0" applyNumberFormat="1" applyFont="1" applyFill="1"/>
    <xf numFmtId="6" fontId="19" fillId="0" borderId="0" xfId="0" applyNumberFormat="1" applyFont="1"/>
    <xf numFmtId="42" fontId="19" fillId="0" borderId="0" xfId="5" applyNumberFormat="1" applyFont="1" applyAlignment="1">
      <alignment wrapText="1"/>
    </xf>
    <xf numFmtId="13" fontId="19" fillId="0" borderId="0" xfId="5" applyNumberFormat="1" applyFont="1" applyAlignment="1">
      <alignment horizontal="right"/>
    </xf>
    <xf numFmtId="0" fontId="19" fillId="0" borderId="0" xfId="5" applyFont="1" applyAlignment="1">
      <alignment vertical="center" wrapText="1"/>
    </xf>
    <xf numFmtId="5" fontId="19" fillId="0" borderId="0" xfId="5" applyNumberFormat="1" applyFont="1" applyAlignment="1">
      <alignment horizontal="right" vertical="center"/>
    </xf>
    <xf numFmtId="42" fontId="19" fillId="0" borderId="0" xfId="5" applyNumberFormat="1" applyFont="1" applyAlignment="1">
      <alignment horizontal="left" vertical="top" wrapText="1"/>
    </xf>
    <xf numFmtId="42" fontId="30" fillId="0" borderId="0" xfId="5" applyNumberFormat="1" applyFont="1" applyAlignment="1">
      <alignment horizontal="left" wrapText="1"/>
    </xf>
    <xf numFmtId="42" fontId="27" fillId="0" borderId="0" xfId="5" applyNumberFormat="1" applyFont="1"/>
    <xf numFmtId="42" fontId="27" fillId="0" borderId="6" xfId="5" applyNumberFormat="1" applyFont="1" applyBorder="1"/>
    <xf numFmtId="42" fontId="26" fillId="0" borderId="0" xfId="5" applyNumberFormat="1" applyFont="1"/>
    <xf numFmtId="0" fontId="26" fillId="0" borderId="0" xfId="5" applyFont="1" applyProtection="1">
      <protection hidden="1"/>
    </xf>
    <xf numFmtId="0" fontId="26" fillId="0" borderId="0" xfId="5" applyFont="1" applyAlignment="1" applyProtection="1">
      <alignment horizontal="center"/>
      <protection hidden="1"/>
    </xf>
    <xf numFmtId="42" fontId="26" fillId="0" borderId="0" xfId="5" applyNumberFormat="1" applyFont="1" applyAlignment="1" applyProtection="1">
      <alignment horizontal="right"/>
      <protection hidden="1"/>
    </xf>
    <xf numFmtId="43" fontId="26" fillId="0" borderId="0" xfId="12" applyFont="1" applyAlignment="1" applyProtection="1">
      <alignment horizontal="right"/>
      <protection hidden="1"/>
    </xf>
    <xf numFmtId="43" fontId="26" fillId="0" borderId="6" xfId="5" applyNumberFormat="1" applyFont="1" applyBorder="1" applyAlignment="1" applyProtection="1">
      <alignment horizontal="right"/>
      <protection hidden="1"/>
    </xf>
    <xf numFmtId="0" fontId="26" fillId="0" borderId="0" xfId="5" applyFont="1" applyAlignment="1" applyProtection="1">
      <alignment horizontal="right"/>
      <protection hidden="1"/>
    </xf>
    <xf numFmtId="42" fontId="26" fillId="0" borderId="0" xfId="5" applyNumberFormat="1" applyFont="1" applyProtection="1">
      <protection hidden="1"/>
    </xf>
    <xf numFmtId="43" fontId="26" fillId="0" borderId="0" xfId="12" applyFont="1" applyAlignment="1" applyProtection="1">
      <protection hidden="1"/>
    </xf>
    <xf numFmtId="43" fontId="26" fillId="0" borderId="6" xfId="5" applyNumberFormat="1" applyFont="1" applyBorder="1" applyProtection="1">
      <protection hidden="1"/>
    </xf>
    <xf numFmtId="43" fontId="26" fillId="0" borderId="0" xfId="5" applyNumberFormat="1" applyFont="1" applyProtection="1">
      <protection hidden="1"/>
    </xf>
    <xf numFmtId="0" fontId="26" fillId="0" borderId="0" xfId="5" applyFont="1" applyProtection="1">
      <protection locked="0" hidden="1"/>
    </xf>
    <xf numFmtId="0" fontId="26" fillId="0" borderId="0" xfId="5" applyFont="1" applyAlignment="1" applyProtection="1">
      <alignment horizontal="center"/>
      <protection locked="0" hidden="1"/>
    </xf>
    <xf numFmtId="42" fontId="26" fillId="0" borderId="0" xfId="5" applyNumberFormat="1" applyFont="1" applyProtection="1">
      <protection locked="0" hidden="1"/>
    </xf>
    <xf numFmtId="0" fontId="19" fillId="0" borderId="0" xfId="5" applyFont="1" applyProtection="1">
      <protection hidden="1"/>
    </xf>
    <xf numFmtId="0" fontId="19" fillId="0" borderId="0" xfId="5" applyFont="1" applyAlignment="1" applyProtection="1">
      <alignment horizontal="right"/>
      <protection hidden="1"/>
    </xf>
    <xf numFmtId="43" fontId="19" fillId="0" borderId="0" xfId="12" applyFont="1" applyFill="1" applyProtection="1">
      <protection hidden="1"/>
    </xf>
    <xf numFmtId="43" fontId="19" fillId="0" borderId="6" xfId="12" applyFont="1" applyFill="1" applyBorder="1" applyProtection="1">
      <protection hidden="1"/>
    </xf>
    <xf numFmtId="43" fontId="19" fillId="0" borderId="6" xfId="5" applyNumberFormat="1" applyFont="1" applyBorder="1" applyProtection="1">
      <protection hidden="1"/>
    </xf>
    <xf numFmtId="6" fontId="19" fillId="0" borderId="0" xfId="5" applyNumberFormat="1" applyFont="1" applyProtection="1">
      <protection hidden="1"/>
    </xf>
    <xf numFmtId="43" fontId="19" fillId="0" borderId="0" xfId="5" applyNumberFormat="1" applyFont="1" applyProtection="1">
      <protection hidden="1"/>
    </xf>
    <xf numFmtId="43" fontId="19" fillId="0" borderId="0" xfId="12" applyFont="1" applyFill="1" applyAlignment="1" applyProtection="1">
      <alignment horizontal="right"/>
      <protection hidden="1"/>
    </xf>
    <xf numFmtId="0" fontId="19" fillId="0" borderId="0" xfId="5" applyFont="1" applyProtection="1">
      <protection locked="0" hidden="1"/>
    </xf>
    <xf numFmtId="5" fontId="27" fillId="5" borderId="21" xfId="5" applyNumberFormat="1" applyFont="1" applyFill="1" applyBorder="1" applyAlignment="1">
      <alignment horizontal="right" wrapText="1"/>
    </xf>
    <xf numFmtId="167" fontId="27" fillId="5" borderId="21" xfId="5" applyNumberFormat="1" applyFont="1" applyFill="1" applyBorder="1" applyAlignment="1">
      <alignment horizontal="left" wrapText="1"/>
    </xf>
    <xf numFmtId="167" fontId="19" fillId="5" borderId="21" xfId="5" applyNumberFormat="1" applyFont="1" applyFill="1" applyBorder="1" applyAlignment="1">
      <alignment horizontal="center" wrapText="1"/>
    </xf>
    <xf numFmtId="42" fontId="27" fillId="5" borderId="22" xfId="5" applyNumberFormat="1" applyFont="1" applyFill="1" applyBorder="1" applyAlignment="1">
      <alignment horizontal="left" wrapText="1"/>
    </xf>
    <xf numFmtId="167" fontId="19" fillId="5" borderId="0" xfId="5" applyNumberFormat="1" applyFont="1" applyFill="1" applyAlignment="1">
      <alignment horizontal="center" wrapText="1"/>
    </xf>
    <xf numFmtId="42" fontId="27" fillId="5" borderId="19" xfId="5" applyNumberFormat="1" applyFont="1" applyFill="1" applyBorder="1" applyAlignment="1">
      <alignment horizontal="left" wrapText="1"/>
    </xf>
    <xf numFmtId="0" fontId="41" fillId="5" borderId="23" xfId="5" applyFont="1" applyFill="1" applyBorder="1" applyAlignment="1">
      <alignment vertical="top" wrapText="1"/>
    </xf>
    <xf numFmtId="0" fontId="30" fillId="5" borderId="23" xfId="5" applyFont="1" applyFill="1" applyBorder="1" applyAlignment="1">
      <alignment horizontal="left" vertical="top" wrapText="1"/>
    </xf>
    <xf numFmtId="0" fontId="19" fillId="5" borderId="0" xfId="5" applyFont="1" applyFill="1" applyAlignment="1">
      <alignment horizontal="left" vertical="top" wrapText="1"/>
    </xf>
    <xf numFmtId="0" fontId="30" fillId="5" borderId="0" xfId="5" applyFont="1" applyFill="1" applyAlignment="1">
      <alignment horizontal="left" vertical="top" wrapText="1"/>
    </xf>
    <xf numFmtId="0" fontId="19" fillId="5" borderId="0" xfId="5" applyFont="1" applyFill="1" applyAlignment="1">
      <alignment horizontal="center" vertical="top" wrapText="1"/>
    </xf>
    <xf numFmtId="42" fontId="30" fillId="5" borderId="19" xfId="5" applyNumberFormat="1" applyFont="1" applyFill="1" applyBorder="1" applyAlignment="1">
      <alignment horizontal="left" vertical="top" wrapText="1"/>
    </xf>
    <xf numFmtId="0" fontId="19" fillId="5" borderId="23" xfId="5" applyFont="1" applyFill="1" applyBorder="1" applyAlignment="1">
      <alignment horizontal="left" vertical="top"/>
    </xf>
    <xf numFmtId="0" fontId="30" fillId="5" borderId="0" xfId="5" applyFont="1" applyFill="1" applyAlignment="1">
      <alignment horizontal="left" vertical="top"/>
    </xf>
    <xf numFmtId="7" fontId="19" fillId="5" borderId="0" xfId="5" applyNumberFormat="1" applyFont="1" applyFill="1" applyAlignment="1">
      <alignment horizontal="right"/>
    </xf>
    <xf numFmtId="0" fontId="19" fillId="5" borderId="6" xfId="5" applyFont="1" applyFill="1" applyBorder="1" applyAlignment="1">
      <alignment horizontal="left" vertical="top" wrapText="1"/>
    </xf>
    <xf numFmtId="0" fontId="30" fillId="5" borderId="6" xfId="5" applyFont="1" applyFill="1" applyBorder="1" applyAlignment="1">
      <alignment horizontal="left" vertical="top" wrapText="1"/>
    </xf>
    <xf numFmtId="0" fontId="19" fillId="5" borderId="15" xfId="5" applyFont="1" applyFill="1" applyBorder="1" applyAlignment="1">
      <alignment horizontal="center" vertical="top" wrapText="1"/>
    </xf>
    <xf numFmtId="42" fontId="30" fillId="5" borderId="26" xfId="5" applyNumberFormat="1" applyFont="1" applyFill="1" applyBorder="1" applyAlignment="1">
      <alignment horizontal="left" vertical="top" wrapText="1"/>
    </xf>
    <xf numFmtId="44" fontId="27" fillId="5" borderId="21" xfId="5" applyNumberFormat="1" applyFont="1" applyFill="1" applyBorder="1" applyAlignment="1">
      <alignment horizontal="right" wrapText="1"/>
    </xf>
    <xf numFmtId="44" fontId="19" fillId="5" borderId="0" xfId="1" applyFont="1" applyFill="1" applyBorder="1" applyAlignment="1" applyProtection="1">
      <alignment horizontal="right"/>
    </xf>
    <xf numFmtId="44" fontId="19" fillId="5" borderId="6" xfId="1" applyFont="1" applyFill="1" applyBorder="1" applyAlignment="1" applyProtection="1">
      <alignment horizontal="right"/>
    </xf>
    <xf numFmtId="0" fontId="29" fillId="7" borderId="23" xfId="5" applyFont="1" applyFill="1" applyBorder="1" applyAlignment="1">
      <alignment wrapText="1"/>
    </xf>
    <xf numFmtId="164" fontId="19" fillId="0" borderId="35" xfId="2" applyNumberFormat="1" applyFont="1" applyFill="1" applyBorder="1" applyAlignment="1" applyProtection="1">
      <alignment horizontal="right"/>
    </xf>
    <xf numFmtId="169" fontId="19" fillId="0" borderId="29" xfId="9" applyNumberFormat="1" applyFont="1" applyFill="1" applyBorder="1" applyAlignment="1" applyProtection="1">
      <alignment horizontal="center"/>
    </xf>
    <xf numFmtId="10" fontId="19" fillId="0" borderId="29" xfId="9" applyNumberFormat="1" applyFont="1" applyFill="1" applyBorder="1" applyAlignment="1" applyProtection="1">
      <alignment horizontal="center"/>
    </xf>
    <xf numFmtId="0" fontId="52" fillId="15" borderId="37" xfId="0" applyFont="1" applyFill="1" applyBorder="1" applyAlignment="1">
      <alignment horizontal="right" wrapText="1"/>
    </xf>
    <xf numFmtId="164" fontId="19" fillId="0" borderId="13" xfId="3" applyNumberFormat="1" applyFont="1" applyFill="1" applyBorder="1" applyAlignment="1" applyProtection="1">
      <alignment horizontal="right"/>
    </xf>
    <xf numFmtId="169" fontId="19" fillId="0" borderId="13" xfId="11" applyNumberFormat="1" applyFont="1" applyFill="1" applyBorder="1" applyAlignment="1" applyProtection="1">
      <alignment horizontal="center"/>
    </xf>
    <xf numFmtId="169" fontId="19" fillId="0" borderId="13" xfId="9" applyNumberFormat="1" applyFont="1" applyFill="1" applyBorder="1" applyAlignment="1" applyProtection="1">
      <alignment horizontal="center"/>
    </xf>
    <xf numFmtId="0" fontId="19" fillId="0" borderId="13" xfId="6" applyFont="1" applyBorder="1" applyAlignment="1">
      <alignment horizontal="center"/>
    </xf>
    <xf numFmtId="10" fontId="19" fillId="0" borderId="13" xfId="9" applyNumberFormat="1" applyFont="1" applyFill="1" applyBorder="1" applyAlignment="1" applyProtection="1">
      <alignment horizontal="center"/>
    </xf>
    <xf numFmtId="5" fontId="19" fillId="0" borderId="13" xfId="6" applyNumberFormat="1" applyFont="1" applyBorder="1" applyAlignment="1">
      <alignment horizontal="right"/>
    </xf>
    <xf numFmtId="0" fontId="19" fillId="10" borderId="13" xfId="5" applyFont="1" applyFill="1" applyBorder="1" applyAlignment="1">
      <alignment horizontal="center" wrapText="1"/>
    </xf>
    <xf numFmtId="42" fontId="30" fillId="0" borderId="13" xfId="5" applyNumberFormat="1" applyFont="1" applyBorder="1" applyAlignment="1">
      <alignment horizontal="center" wrapText="1"/>
    </xf>
    <xf numFmtId="164" fontId="19" fillId="0" borderId="29" xfId="3" applyNumberFormat="1" applyFont="1" applyFill="1" applyBorder="1" applyAlignment="1" applyProtection="1">
      <alignment horizontal="right"/>
    </xf>
    <xf numFmtId="169" fontId="19" fillId="0" borderId="29" xfId="11" applyNumberFormat="1" applyFont="1" applyFill="1" applyBorder="1" applyAlignment="1" applyProtection="1">
      <alignment horizontal="center"/>
    </xf>
    <xf numFmtId="0" fontId="19" fillId="0" borderId="29" xfId="6" applyFont="1" applyBorder="1" applyAlignment="1">
      <alignment horizontal="center"/>
    </xf>
    <xf numFmtId="5" fontId="19" fillId="0" borderId="29" xfId="6" applyNumberFormat="1" applyFont="1" applyBorder="1" applyAlignment="1">
      <alignment horizontal="right"/>
    </xf>
    <xf numFmtId="0" fontId="19" fillId="10" borderId="29" xfId="5" applyFont="1" applyFill="1" applyBorder="1" applyAlignment="1">
      <alignment horizontal="center" wrapText="1"/>
    </xf>
    <xf numFmtId="164" fontId="19" fillId="0" borderId="13" xfId="2" applyNumberFormat="1" applyFont="1" applyFill="1" applyBorder="1" applyAlignment="1" applyProtection="1">
      <alignment horizontal="right"/>
    </xf>
    <xf numFmtId="164" fontId="19" fillId="0" borderId="29" xfId="2" applyNumberFormat="1" applyFont="1" applyFill="1" applyBorder="1" applyAlignment="1" applyProtection="1">
      <alignment horizontal="right"/>
    </xf>
    <xf numFmtId="0" fontId="52" fillId="15" borderId="36" xfId="0" applyFont="1" applyFill="1" applyBorder="1" applyAlignment="1">
      <alignment horizontal="right" wrapText="1"/>
    </xf>
    <xf numFmtId="0" fontId="52" fillId="15" borderId="28" xfId="0" applyFont="1" applyFill="1" applyBorder="1" applyAlignment="1">
      <alignment horizontal="right" wrapText="1"/>
    </xf>
    <xf numFmtId="0" fontId="52" fillId="15" borderId="38" xfId="0" applyFont="1" applyFill="1" applyBorder="1" applyAlignment="1">
      <alignment horizontal="right" wrapText="1"/>
    </xf>
    <xf numFmtId="164" fontId="19" fillId="0" borderId="39" xfId="2" applyNumberFormat="1" applyFont="1" applyFill="1" applyBorder="1" applyAlignment="1" applyProtection="1">
      <alignment horizontal="right"/>
    </xf>
    <xf numFmtId="169" fontId="19" fillId="0" borderId="13" xfId="10" applyNumberFormat="1" applyFont="1" applyFill="1" applyBorder="1" applyAlignment="1" applyProtection="1">
      <alignment horizontal="center"/>
    </xf>
    <xf numFmtId="0" fontId="19" fillId="13" borderId="13" xfId="5" applyFont="1" applyFill="1" applyBorder="1" applyAlignment="1">
      <alignment horizontal="center"/>
    </xf>
    <xf numFmtId="5" fontId="19" fillId="0" borderId="13" xfId="5" applyNumberFormat="1" applyFont="1" applyBorder="1" applyAlignment="1">
      <alignment horizontal="right"/>
    </xf>
    <xf numFmtId="0" fontId="19" fillId="0" borderId="13" xfId="5" applyFont="1" applyBorder="1" applyAlignment="1">
      <alignment horizontal="center" wrapText="1"/>
    </xf>
    <xf numFmtId="164" fontId="19" fillId="13" borderId="29" xfId="3" applyNumberFormat="1" applyFont="1" applyFill="1" applyBorder="1" applyAlignment="1" applyProtection="1">
      <alignment horizontal="right"/>
    </xf>
    <xf numFmtId="164" fontId="19" fillId="13" borderId="13" xfId="3" applyNumberFormat="1" applyFont="1" applyFill="1" applyBorder="1" applyAlignment="1" applyProtection="1">
      <alignment horizontal="right"/>
    </xf>
    <xf numFmtId="0" fontId="30" fillId="0" borderId="0" xfId="5" applyFont="1" applyAlignment="1">
      <alignment horizontal="center" vertical="center" wrapText="1"/>
    </xf>
    <xf numFmtId="169" fontId="56" fillId="0" borderId="0" xfId="14" applyNumberFormat="1" applyFont="1" applyFill="1" applyBorder="1" applyAlignment="1" applyProtection="1"/>
    <xf numFmtId="42" fontId="58" fillId="14" borderId="0" xfId="12" applyNumberFormat="1" applyFont="1" applyFill="1" applyAlignment="1" applyProtection="1">
      <alignment horizontal="right"/>
    </xf>
    <xf numFmtId="167" fontId="55" fillId="0" borderId="0" xfId="1" applyNumberFormat="1" applyFont="1" applyBorder="1" applyAlignment="1" applyProtection="1">
      <alignment horizontal="right"/>
    </xf>
    <xf numFmtId="167" fontId="54" fillId="0" borderId="0" xfId="1" applyNumberFormat="1" applyFont="1" applyBorder="1" applyAlignment="1" applyProtection="1"/>
    <xf numFmtId="42" fontId="64" fillId="0" borderId="19" xfId="12" applyNumberFormat="1" applyFont="1" applyFill="1" applyBorder="1" applyAlignment="1" applyProtection="1">
      <alignment horizontal="left" vertical="top" wrapText="1"/>
    </xf>
    <xf numFmtId="43" fontId="55" fillId="0" borderId="0" xfId="12" applyFont="1" applyFill="1" applyBorder="1" applyAlignment="1" applyProtection="1">
      <alignment horizontal="right"/>
    </xf>
    <xf numFmtId="43" fontId="55" fillId="11" borderId="0" xfId="12" applyFont="1" applyFill="1" applyBorder="1" applyAlignment="1" applyProtection="1">
      <alignment wrapText="1"/>
    </xf>
    <xf numFmtId="43" fontId="55" fillId="11" borderId="0" xfId="12" applyFont="1" applyFill="1" applyBorder="1" applyAlignment="1" applyProtection="1">
      <alignment horizontal="right"/>
    </xf>
    <xf numFmtId="44" fontId="55" fillId="0" borderId="6" xfId="1" applyFont="1" applyBorder="1" applyAlignment="1" applyProtection="1">
      <alignment horizontal="left" wrapText="1"/>
    </xf>
    <xf numFmtId="164" fontId="55" fillId="0" borderId="0" xfId="1" applyNumberFormat="1" applyFont="1" applyFill="1" applyBorder="1" applyAlignment="1" applyProtection="1">
      <alignment horizontal="right"/>
    </xf>
    <xf numFmtId="42" fontId="55" fillId="0" borderId="6" xfId="1" applyNumberFormat="1" applyFont="1" applyBorder="1" applyAlignment="1" applyProtection="1">
      <alignment horizontal="left" wrapText="1"/>
    </xf>
    <xf numFmtId="43" fontId="64" fillId="9" borderId="21" xfId="12" applyFont="1" applyFill="1" applyBorder="1" applyAlignment="1" applyProtection="1">
      <alignment horizontal="right" wrapText="1"/>
    </xf>
    <xf numFmtId="3" fontId="55" fillId="0" borderId="0" xfId="12" applyNumberFormat="1" applyFont="1" applyBorder="1" applyAlignment="1" applyProtection="1">
      <alignment horizontal="center" wrapText="1"/>
    </xf>
    <xf numFmtId="42" fontId="58" fillId="14" borderId="0" xfId="1" applyNumberFormat="1" applyFont="1" applyFill="1" applyAlignment="1" applyProtection="1">
      <alignment horizontal="right"/>
    </xf>
    <xf numFmtId="167" fontId="78" fillId="7" borderId="0" xfId="24" applyNumberFormat="1" applyFont="1" applyFill="1" applyBorder="1" applyAlignment="1" applyProtection="1">
      <alignment horizontal="right" vertical="top"/>
    </xf>
    <xf numFmtId="170" fontId="78" fillId="7" borderId="0" xfId="24" applyNumberFormat="1" applyFont="1" applyFill="1" applyBorder="1" applyAlignment="1" applyProtection="1">
      <alignment horizontal="right" vertical="top"/>
    </xf>
    <xf numFmtId="167" fontId="58" fillId="7" borderId="0" xfId="24" applyNumberFormat="1" applyFont="1" applyFill="1" applyBorder="1" applyAlignment="1" applyProtection="1">
      <alignment horizontal="right" vertical="top"/>
    </xf>
    <xf numFmtId="170" fontId="78" fillId="14" borderId="40" xfId="24" applyNumberFormat="1" applyFont="1" applyFill="1" applyBorder="1" applyAlignment="1" applyProtection="1">
      <alignment horizontal="right" vertical="top"/>
    </xf>
    <xf numFmtId="167" fontId="58" fillId="14" borderId="41" xfId="24" applyNumberFormat="1" applyFont="1" applyFill="1" applyBorder="1" applyAlignment="1" applyProtection="1">
      <alignment horizontal="right" vertical="top"/>
    </xf>
    <xf numFmtId="167" fontId="78" fillId="14" borderId="41" xfId="24" applyNumberFormat="1" applyFont="1" applyFill="1" applyBorder="1" applyAlignment="1" applyProtection="1">
      <alignment horizontal="right" vertical="top"/>
    </xf>
    <xf numFmtId="167" fontId="58" fillId="14" borderId="41" xfId="24" applyNumberFormat="1" applyFont="1" applyFill="1" applyBorder="1" applyAlignment="1" applyProtection="1">
      <alignment vertical="top"/>
    </xf>
    <xf numFmtId="167" fontId="78" fillId="14" borderId="0" xfId="24" applyNumberFormat="1" applyFont="1" applyFill="1" applyBorder="1" applyAlignment="1" applyProtection="1">
      <alignment horizontal="right" vertical="top"/>
    </xf>
    <xf numFmtId="167" fontId="58" fillId="14" borderId="44" xfId="24" applyNumberFormat="1" applyFont="1" applyFill="1" applyBorder="1" applyAlignment="1" applyProtection="1">
      <alignment horizontal="right" vertical="top"/>
    </xf>
    <xf numFmtId="167" fontId="61" fillId="7" borderId="0" xfId="24" applyNumberFormat="1" applyFont="1" applyFill="1" applyBorder="1" applyAlignment="1" applyProtection="1">
      <alignment horizontal="center"/>
    </xf>
    <xf numFmtId="167" fontId="61" fillId="7" borderId="0" xfId="24" applyNumberFormat="1" applyFont="1" applyFill="1" applyBorder="1" applyAlignment="1" applyProtection="1">
      <alignment horizontal="right" wrapText="1"/>
    </xf>
    <xf numFmtId="167" fontId="55" fillId="7" borderId="0" xfId="24" applyNumberFormat="1" applyFont="1" applyFill="1" applyBorder="1" applyAlignment="1" applyProtection="1">
      <alignment horizontal="right" wrapText="1"/>
    </xf>
    <xf numFmtId="10" fontId="55" fillId="0" borderId="29" xfId="14" applyNumberFormat="1" applyFont="1" applyFill="1" applyBorder="1" applyAlignment="1" applyProtection="1">
      <alignment horizontal="center"/>
    </xf>
    <xf numFmtId="169" fontId="55" fillId="0" borderId="29" xfId="14" applyNumberFormat="1" applyFont="1" applyFill="1" applyBorder="1" applyAlignment="1" applyProtection="1">
      <alignment horizontal="center"/>
    </xf>
    <xf numFmtId="169" fontId="55" fillId="0" borderId="29" xfId="25" applyNumberFormat="1" applyFont="1" applyFill="1" applyBorder="1" applyAlignment="1" applyProtection="1">
      <alignment horizontal="center"/>
    </xf>
    <xf numFmtId="164" fontId="55" fillId="0" borderId="35" xfId="24" applyNumberFormat="1" applyFont="1" applyFill="1" applyBorder="1" applyAlignment="1" applyProtection="1">
      <alignment horizontal="right"/>
    </xf>
    <xf numFmtId="10" fontId="55" fillId="0" borderId="12" xfId="14" applyNumberFormat="1" applyFont="1" applyFill="1" applyBorder="1" applyAlignment="1" applyProtection="1">
      <alignment horizontal="center"/>
    </xf>
    <xf numFmtId="169" fontId="55" fillId="0" borderId="12" xfId="14" applyNumberFormat="1" applyFont="1" applyFill="1" applyBorder="1" applyAlignment="1" applyProtection="1">
      <alignment horizontal="center"/>
    </xf>
    <xf numFmtId="169" fontId="55" fillId="0" borderId="12" xfId="25" applyNumberFormat="1" applyFont="1" applyFill="1" applyBorder="1" applyAlignment="1" applyProtection="1">
      <alignment horizontal="center"/>
    </xf>
    <xf numFmtId="164" fontId="55" fillId="0" borderId="30" xfId="24" applyNumberFormat="1" applyFont="1" applyFill="1" applyBorder="1" applyAlignment="1" applyProtection="1">
      <alignment horizontal="right"/>
    </xf>
    <xf numFmtId="10" fontId="55" fillId="0" borderId="13" xfId="14" applyNumberFormat="1" applyFont="1" applyFill="1" applyBorder="1" applyAlignment="1" applyProtection="1">
      <alignment horizontal="center"/>
    </xf>
    <xf numFmtId="169" fontId="55" fillId="0" borderId="13" xfId="14" applyNumberFormat="1" applyFont="1" applyFill="1" applyBorder="1" applyAlignment="1" applyProtection="1">
      <alignment horizontal="center"/>
    </xf>
    <xf numFmtId="169" fontId="55" fillId="0" borderId="13" xfId="25" applyNumberFormat="1" applyFont="1" applyFill="1" applyBorder="1" applyAlignment="1" applyProtection="1">
      <alignment horizontal="center"/>
    </xf>
    <xf numFmtId="164" fontId="55" fillId="0" borderId="51" xfId="24" applyNumberFormat="1" applyFont="1" applyFill="1" applyBorder="1" applyAlignment="1" applyProtection="1">
      <alignment horizontal="right"/>
    </xf>
    <xf numFmtId="164" fontId="55" fillId="0" borderId="22" xfId="24" applyNumberFormat="1" applyFont="1" applyFill="1" applyBorder="1" applyAlignment="1" applyProtection="1">
      <alignment horizontal="right"/>
    </xf>
    <xf numFmtId="164" fontId="55" fillId="0" borderId="18" xfId="24" applyNumberFormat="1" applyFont="1" applyFill="1" applyBorder="1" applyAlignment="1" applyProtection="1">
      <alignment horizontal="right"/>
    </xf>
    <xf numFmtId="164" fontId="55" fillId="0" borderId="26" xfId="24" applyNumberFormat="1" applyFont="1" applyFill="1" applyBorder="1" applyAlignment="1" applyProtection="1">
      <alignment horizontal="right"/>
    </xf>
    <xf numFmtId="169" fontId="55" fillId="0" borderId="29" xfId="26" applyNumberFormat="1" applyFont="1" applyFill="1" applyBorder="1" applyAlignment="1" applyProtection="1">
      <alignment horizontal="center"/>
    </xf>
    <xf numFmtId="164" fontId="55" fillId="0" borderId="22" xfId="27" applyNumberFormat="1" applyFont="1" applyFill="1" applyBorder="1" applyAlignment="1" applyProtection="1">
      <alignment horizontal="right"/>
    </xf>
    <xf numFmtId="169" fontId="55" fillId="0" borderId="12" xfId="26" applyNumberFormat="1" applyFont="1" applyFill="1" applyBorder="1" applyAlignment="1" applyProtection="1">
      <alignment horizontal="center"/>
    </xf>
    <xf numFmtId="164" fontId="55" fillId="0" borderId="18" xfId="27" applyNumberFormat="1" applyFont="1" applyFill="1" applyBorder="1" applyAlignment="1" applyProtection="1">
      <alignment horizontal="right"/>
    </xf>
    <xf numFmtId="169" fontId="55" fillId="0" borderId="13" xfId="26" applyNumberFormat="1" applyFont="1" applyFill="1" applyBorder="1" applyAlignment="1" applyProtection="1">
      <alignment horizontal="center"/>
    </xf>
    <xf numFmtId="164" fontId="55" fillId="0" borderId="26" xfId="27" applyNumberFormat="1" applyFont="1" applyFill="1" applyBorder="1" applyAlignment="1" applyProtection="1">
      <alignment horizontal="right"/>
    </xf>
    <xf numFmtId="10" fontId="55" fillId="0" borderId="27" xfId="14" applyNumberFormat="1" applyFont="1" applyFill="1" applyBorder="1" applyAlignment="1" applyProtection="1">
      <alignment horizontal="center"/>
    </xf>
    <xf numFmtId="169" fontId="55" fillId="0" borderId="27" xfId="14" applyNumberFormat="1" applyFont="1" applyFill="1" applyBorder="1" applyAlignment="1" applyProtection="1">
      <alignment horizontal="center"/>
    </xf>
    <xf numFmtId="169" fontId="55" fillId="0" borderId="27" xfId="26" applyNumberFormat="1" applyFont="1" applyFill="1" applyBorder="1" applyAlignment="1" applyProtection="1">
      <alignment horizontal="center"/>
    </xf>
    <xf numFmtId="164" fontId="55" fillId="0" borderId="59" xfId="24" applyNumberFormat="1" applyFont="1" applyFill="1" applyBorder="1" applyAlignment="1" applyProtection="1">
      <alignment horizontal="right"/>
    </xf>
    <xf numFmtId="167" fontId="61" fillId="0" borderId="12" xfId="24" applyNumberFormat="1" applyFont="1" applyFill="1" applyBorder="1" applyAlignment="1" applyProtection="1">
      <alignment horizontal="center"/>
    </xf>
    <xf numFmtId="167" fontId="61" fillId="0" borderId="12" xfId="24" applyNumberFormat="1" applyFont="1" applyFill="1" applyBorder="1" applyAlignment="1" applyProtection="1">
      <alignment horizontal="center" wrapText="1"/>
    </xf>
    <xf numFmtId="167" fontId="54" fillId="7" borderId="0" xfId="24" applyNumberFormat="1" applyFont="1" applyFill="1" applyBorder="1" applyAlignment="1" applyProtection="1">
      <alignment horizontal="right" vertical="top"/>
    </xf>
    <xf numFmtId="42" fontId="58" fillId="14" borderId="43" xfId="12" applyNumberFormat="1" applyFont="1" applyFill="1" applyBorder="1" applyAlignment="1" applyProtection="1">
      <alignment horizontal="right"/>
    </xf>
    <xf numFmtId="167" fontId="58" fillId="14" borderId="0" xfId="24" applyNumberFormat="1" applyFont="1" applyFill="1" applyBorder="1" applyAlignment="1" applyProtection="1">
      <alignment horizontal="right" vertical="top"/>
    </xf>
    <xf numFmtId="0" fontId="55" fillId="0" borderId="0" xfId="22" applyFont="1" applyAlignment="1">
      <alignment horizontal="right"/>
    </xf>
    <xf numFmtId="6" fontId="55" fillId="0" borderId="0" xfId="22" applyNumberFormat="1" applyFont="1"/>
    <xf numFmtId="0" fontId="54" fillId="0" borderId="0" xfId="22" applyFont="1"/>
    <xf numFmtId="43" fontId="55" fillId="0" borderId="0" xfId="12" applyFont="1" applyFill="1" applyProtection="1"/>
    <xf numFmtId="43" fontId="55" fillId="0" borderId="6" xfId="22" applyNumberFormat="1" applyFont="1" applyBorder="1"/>
    <xf numFmtId="0" fontId="55" fillId="0" borderId="0" xfId="22" applyFont="1"/>
    <xf numFmtId="43" fontId="55" fillId="0" borderId="0" xfId="22" applyNumberFormat="1" applyFont="1"/>
    <xf numFmtId="0" fontId="54" fillId="0" borderId="0" xfId="22" applyFont="1" applyAlignment="1">
      <alignment horizontal="center"/>
    </xf>
    <xf numFmtId="43" fontId="55" fillId="0" borderId="6" xfId="12" applyFont="1" applyFill="1" applyBorder="1" applyProtection="1"/>
    <xf numFmtId="42" fontId="56" fillId="0" borderId="6" xfId="22" applyNumberFormat="1" applyFont="1" applyBorder="1"/>
    <xf numFmtId="42" fontId="54" fillId="0" borderId="0" xfId="22" applyNumberFormat="1" applyFont="1"/>
    <xf numFmtId="43" fontId="55" fillId="0" borderId="0" xfId="12" applyFont="1" applyFill="1" applyAlignment="1" applyProtection="1"/>
    <xf numFmtId="43" fontId="55" fillId="0" borderId="0" xfId="12" applyFont="1" applyAlignment="1" applyProtection="1"/>
    <xf numFmtId="43" fontId="55" fillId="0" borderId="6" xfId="12" applyFont="1" applyFill="1" applyBorder="1" applyAlignment="1" applyProtection="1"/>
    <xf numFmtId="42" fontId="54" fillId="0" borderId="0" xfId="22" applyNumberFormat="1" applyFont="1" applyAlignment="1">
      <alignment horizontal="right"/>
    </xf>
    <xf numFmtId="43" fontId="54" fillId="0" borderId="0" xfId="12" applyFont="1" applyAlignment="1" applyProtection="1">
      <alignment horizontal="right"/>
    </xf>
    <xf numFmtId="43" fontId="54" fillId="0" borderId="6" xfId="22" applyNumberFormat="1" applyFont="1" applyBorder="1" applyAlignment="1">
      <alignment horizontal="right"/>
    </xf>
    <xf numFmtId="0" fontId="54" fillId="0" borderId="0" xfId="22" applyFont="1" applyAlignment="1">
      <alignment horizontal="right"/>
    </xf>
    <xf numFmtId="43" fontId="54" fillId="0" borderId="0" xfId="12" applyFont="1" applyAlignment="1" applyProtection="1"/>
    <xf numFmtId="43" fontId="54" fillId="0" borderId="6" xfId="22" applyNumberFormat="1" applyFont="1" applyBorder="1"/>
    <xf numFmtId="43" fontId="54" fillId="0" borderId="0" xfId="22" applyNumberFormat="1" applyFont="1"/>
    <xf numFmtId="167" fontId="54" fillId="0" borderId="0" xfId="22" applyNumberFormat="1" applyFont="1"/>
    <xf numFmtId="0" fontId="57" fillId="7" borderId="44" xfId="22" applyFont="1" applyFill="1" applyBorder="1" applyAlignment="1">
      <alignment vertical="top"/>
    </xf>
    <xf numFmtId="0" fontId="56" fillId="7" borderId="0" xfId="22" applyFont="1" applyFill="1"/>
    <xf numFmtId="167" fontId="56" fillId="7" borderId="0" xfId="22" applyNumberFormat="1" applyFont="1" applyFill="1" applyAlignment="1">
      <alignment horizontal="right"/>
    </xf>
    <xf numFmtId="167" fontId="55" fillId="7" borderId="0" xfId="22" applyNumberFormat="1" applyFont="1" applyFill="1" applyAlignment="1">
      <alignment horizontal="center"/>
    </xf>
    <xf numFmtId="42" fontId="56" fillId="7" borderId="43" xfId="22" applyNumberFormat="1" applyFont="1" applyFill="1" applyBorder="1" applyAlignment="1">
      <alignment horizontal="right"/>
    </xf>
    <xf numFmtId="0" fontId="61" fillId="0" borderId="30" xfId="22" applyFont="1" applyBorder="1" applyAlignment="1">
      <alignment horizontal="center"/>
    </xf>
    <xf numFmtId="0" fontId="61" fillId="0" borderId="12" xfId="22" applyFont="1" applyBorder="1" applyAlignment="1">
      <alignment horizontal="center"/>
    </xf>
    <xf numFmtId="0" fontId="61" fillId="0" borderId="12" xfId="22" applyFont="1" applyBorder="1" applyAlignment="1">
      <alignment horizontal="center" wrapText="1"/>
    </xf>
    <xf numFmtId="42" fontId="61" fillId="0" borderId="49" xfId="22" applyNumberFormat="1" applyFont="1" applyBorder="1" applyAlignment="1">
      <alignment horizontal="center" wrapText="1"/>
    </xf>
    <xf numFmtId="0" fontId="79" fillId="15" borderId="55" xfId="15" applyFont="1" applyFill="1" applyBorder="1" applyAlignment="1">
      <alignment horizontal="right" wrapText="1"/>
    </xf>
    <xf numFmtId="0" fontId="55" fillId="0" borderId="12" xfId="22" applyFont="1" applyBorder="1" applyAlignment="1">
      <alignment horizontal="center"/>
    </xf>
    <xf numFmtId="5" fontId="55" fillId="0" borderId="12" xfId="22" applyNumberFormat="1" applyFont="1" applyBorder="1" applyAlignment="1">
      <alignment horizontal="right"/>
    </xf>
    <xf numFmtId="0" fontId="55" fillId="0" borderId="12" xfId="22" applyFont="1" applyBorder="1" applyAlignment="1">
      <alignment horizontal="center" wrapText="1"/>
    </xf>
    <xf numFmtId="0" fontId="79" fillId="15" borderId="54" xfId="15" applyFont="1" applyFill="1" applyBorder="1" applyAlignment="1">
      <alignment horizontal="right" wrapText="1"/>
    </xf>
    <xf numFmtId="0" fontId="79" fillId="15" borderId="53" xfId="15" applyFont="1" applyFill="1" applyBorder="1" applyAlignment="1">
      <alignment horizontal="right" wrapText="1"/>
    </xf>
    <xf numFmtId="0" fontId="79" fillId="15" borderId="52" xfId="15" applyFont="1" applyFill="1" applyBorder="1" applyAlignment="1">
      <alignment horizontal="right" wrapText="1"/>
    </xf>
    <xf numFmtId="0" fontId="55" fillId="0" borderId="29" xfId="22" applyFont="1" applyBorder="1" applyAlignment="1">
      <alignment horizontal="center"/>
    </xf>
    <xf numFmtId="5" fontId="55" fillId="0" borderId="29" xfId="22" applyNumberFormat="1" applyFont="1" applyBorder="1" applyAlignment="1">
      <alignment horizontal="right"/>
    </xf>
    <xf numFmtId="0" fontId="55" fillId="0" borderId="29" xfId="22" applyFont="1" applyBorder="1" applyAlignment="1">
      <alignment horizontal="center" wrapText="1"/>
    </xf>
    <xf numFmtId="42" fontId="61" fillId="0" borderId="47" xfId="22" applyNumberFormat="1" applyFont="1" applyBorder="1" applyAlignment="1">
      <alignment horizontal="center" wrapText="1"/>
    </xf>
    <xf numFmtId="0" fontId="79" fillId="15" borderId="60" xfId="15" applyFont="1" applyFill="1" applyBorder="1" applyAlignment="1">
      <alignment horizontal="right" wrapText="1"/>
    </xf>
    <xf numFmtId="0" fontId="55" fillId="0" borderId="13" xfId="22" applyFont="1" applyBorder="1" applyAlignment="1">
      <alignment horizontal="center"/>
    </xf>
    <xf numFmtId="5" fontId="55" fillId="0" borderId="13" xfId="22" applyNumberFormat="1" applyFont="1" applyBorder="1" applyAlignment="1">
      <alignment horizontal="right"/>
    </xf>
    <xf numFmtId="0" fontId="55" fillId="0" borderId="13" xfId="22" applyFont="1" applyBorder="1" applyAlignment="1">
      <alignment horizontal="center" wrapText="1"/>
    </xf>
    <xf numFmtId="42" fontId="61" fillId="0" borderId="50" xfId="22" applyNumberFormat="1" applyFont="1" applyBorder="1" applyAlignment="1">
      <alignment horizontal="center" wrapText="1"/>
    </xf>
    <xf numFmtId="0" fontId="55" fillId="0" borderId="0" xfId="4" applyFont="1" applyFill="1" applyBorder="1" applyAlignment="1" applyProtection="1">
      <alignment vertical="top"/>
    </xf>
    <xf numFmtId="0" fontId="69" fillId="0" borderId="0" xfId="4" applyFont="1" applyFill="1" applyBorder="1" applyAlignment="1" applyProtection="1">
      <alignment vertical="top"/>
    </xf>
    <xf numFmtId="0" fontId="55" fillId="0" borderId="13" xfId="23" applyFont="1" applyBorder="1" applyAlignment="1">
      <alignment horizontal="center"/>
    </xf>
    <xf numFmtId="5" fontId="55" fillId="0" borderId="13" xfId="23" applyNumberFormat="1" applyFont="1" applyBorder="1" applyAlignment="1">
      <alignment horizontal="right"/>
    </xf>
    <xf numFmtId="0" fontId="55" fillId="10" borderId="13" xfId="22" applyFont="1" applyFill="1" applyBorder="1" applyAlignment="1">
      <alignment horizontal="center" wrapText="1"/>
    </xf>
    <xf numFmtId="0" fontId="54" fillId="0" borderId="0" xfId="22" applyFont="1" applyAlignment="1">
      <alignment vertical="top"/>
    </xf>
    <xf numFmtId="0" fontId="55" fillId="0" borderId="12" xfId="23" applyFont="1" applyBorder="1" applyAlignment="1">
      <alignment horizontal="center"/>
    </xf>
    <xf numFmtId="5" fontId="55" fillId="0" borderId="12" xfId="23" applyNumberFormat="1" applyFont="1" applyBorder="1" applyAlignment="1">
      <alignment horizontal="right"/>
    </xf>
    <xf numFmtId="0" fontId="55" fillId="10" borderId="12" xfId="22" applyFont="1" applyFill="1" applyBorder="1" applyAlignment="1">
      <alignment horizontal="center" wrapText="1"/>
    </xf>
    <xf numFmtId="0" fontId="55" fillId="0" borderId="29" xfId="23" applyFont="1" applyBorder="1" applyAlignment="1">
      <alignment horizontal="center"/>
    </xf>
    <xf numFmtId="5" fontId="55" fillId="0" borderId="29" xfId="23" applyNumberFormat="1" applyFont="1" applyBorder="1" applyAlignment="1">
      <alignment horizontal="right"/>
    </xf>
    <xf numFmtId="0" fontId="55" fillId="10" borderId="29" xfId="22" applyFont="1" applyFill="1" applyBorder="1" applyAlignment="1">
      <alignment horizontal="center" wrapText="1"/>
    </xf>
    <xf numFmtId="0" fontId="55" fillId="0" borderId="0" xfId="22" applyFont="1" applyAlignment="1">
      <alignment vertical="top"/>
    </xf>
    <xf numFmtId="0" fontId="55" fillId="0" borderId="27" xfId="23" applyFont="1" applyBorder="1" applyAlignment="1">
      <alignment horizontal="center"/>
    </xf>
    <xf numFmtId="5" fontId="55" fillId="0" borderId="27" xfId="23" applyNumberFormat="1" applyFont="1" applyBorder="1" applyAlignment="1">
      <alignment horizontal="right"/>
    </xf>
    <xf numFmtId="0" fontId="55" fillId="10" borderId="27" xfId="22" applyFont="1" applyFill="1" applyBorder="1" applyAlignment="1">
      <alignment horizontal="center" wrapText="1"/>
    </xf>
    <xf numFmtId="42" fontId="61" fillId="0" borderId="58" xfId="22" applyNumberFormat="1" applyFont="1" applyBorder="1" applyAlignment="1">
      <alignment horizontal="center" wrapText="1"/>
    </xf>
    <xf numFmtId="0" fontId="55" fillId="13" borderId="29" xfId="23" applyFont="1" applyFill="1" applyBorder="1" applyAlignment="1">
      <alignment horizontal="center"/>
    </xf>
    <xf numFmtId="0" fontId="55" fillId="13" borderId="12" xfId="23" applyFont="1" applyFill="1" applyBorder="1" applyAlignment="1">
      <alignment horizontal="center"/>
    </xf>
    <xf numFmtId="0" fontId="55" fillId="13" borderId="13" xfId="23" applyFont="1" applyFill="1" applyBorder="1" applyAlignment="1">
      <alignment horizontal="center"/>
    </xf>
    <xf numFmtId="0" fontId="54" fillId="13" borderId="0" xfId="22" applyFont="1" applyFill="1" applyAlignment="1">
      <alignment horizontal="center" vertical="top"/>
    </xf>
    <xf numFmtId="0" fontId="61" fillId="0" borderId="0" xfId="4" applyFont="1" applyFill="1" applyBorder="1" applyAlignment="1" applyProtection="1">
      <alignment horizontal="center" vertical="top"/>
    </xf>
    <xf numFmtId="9" fontId="54" fillId="0" borderId="0" xfId="14" applyFont="1" applyProtection="1"/>
    <xf numFmtId="0" fontId="55" fillId="0" borderId="0" xfId="22" applyFont="1" applyAlignment="1">
      <alignment horizontal="center"/>
    </xf>
    <xf numFmtId="0" fontId="79" fillId="14" borderId="57" xfId="22" applyFont="1" applyFill="1" applyBorder="1" applyAlignment="1">
      <alignment horizontal="right" wrapText="1"/>
    </xf>
    <xf numFmtId="0" fontId="79" fillId="14" borderId="56" xfId="22" applyFont="1" applyFill="1" applyBorder="1" applyAlignment="1">
      <alignment horizontal="right" wrapText="1"/>
    </xf>
    <xf numFmtId="0" fontId="79" fillId="14" borderId="55" xfId="22" applyFont="1" applyFill="1" applyBorder="1" applyAlignment="1">
      <alignment horizontal="right" wrapText="1"/>
    </xf>
    <xf numFmtId="0" fontId="55" fillId="0" borderId="0" xfId="4" applyFont="1" applyFill="1" applyBorder="1" applyAlignment="1" applyProtection="1">
      <alignment horizontal="left"/>
    </xf>
    <xf numFmtId="0" fontId="61" fillId="16" borderId="52" xfId="15" applyFont="1" applyFill="1" applyBorder="1" applyAlignment="1">
      <alignment horizontal="right" wrapText="1"/>
    </xf>
    <xf numFmtId="0" fontId="79" fillId="15" borderId="42" xfId="15" applyFont="1" applyFill="1" applyBorder="1" applyAlignment="1">
      <alignment horizontal="right" wrapText="1"/>
    </xf>
    <xf numFmtId="0" fontId="79" fillId="15" borderId="44" xfId="15" applyFont="1" applyFill="1" applyBorder="1" applyAlignment="1">
      <alignment horizontal="right" wrapText="1"/>
    </xf>
    <xf numFmtId="0" fontId="79" fillId="15" borderId="48" xfId="15" applyFont="1" applyFill="1" applyBorder="1" applyAlignment="1">
      <alignment horizontal="right" wrapText="1"/>
    </xf>
    <xf numFmtId="0" fontId="61" fillId="7" borderId="44" xfId="22" applyFont="1" applyFill="1" applyBorder="1" applyAlignment="1">
      <alignment vertical="top"/>
    </xf>
    <xf numFmtId="0" fontId="61" fillId="7" borderId="0" xfId="22" applyFont="1" applyFill="1" applyAlignment="1">
      <alignment horizontal="right" wrapText="1"/>
    </xf>
    <xf numFmtId="0" fontId="55" fillId="7" borderId="0" xfId="22" applyFont="1" applyFill="1" applyAlignment="1">
      <alignment horizontal="center" wrapText="1"/>
    </xf>
    <xf numFmtId="42" fontId="61" fillId="7" borderId="43" xfId="22" applyNumberFormat="1" applyFont="1" applyFill="1" applyBorder="1" applyAlignment="1">
      <alignment horizontal="right" wrapText="1"/>
    </xf>
    <xf numFmtId="0" fontId="54" fillId="14" borderId="44" xfId="22" applyFont="1" applyFill="1" applyBorder="1"/>
    <xf numFmtId="0" fontId="54" fillId="14" borderId="0" xfId="22" applyFont="1" applyFill="1"/>
    <xf numFmtId="0" fontId="58" fillId="14" borderId="0" xfId="22" applyFont="1" applyFill="1" applyAlignment="1">
      <alignment vertical="top"/>
    </xf>
    <xf numFmtId="5" fontId="58" fillId="14" borderId="43" xfId="22" applyNumberFormat="1" applyFont="1" applyFill="1" applyBorder="1" applyAlignment="1">
      <alignment horizontal="right"/>
    </xf>
    <xf numFmtId="5" fontId="58" fillId="14" borderId="0" xfId="22" applyNumberFormat="1" applyFont="1" applyFill="1" applyAlignment="1">
      <alignment horizontal="right"/>
    </xf>
    <xf numFmtId="0" fontId="54" fillId="14" borderId="42" xfId="22" applyFont="1" applyFill="1" applyBorder="1"/>
    <xf numFmtId="0" fontId="54" fillId="14" borderId="41" xfId="22" applyFont="1" applyFill="1" applyBorder="1"/>
    <xf numFmtId="0" fontId="58" fillId="14" borderId="41" xfId="22" applyFont="1" applyFill="1" applyBorder="1" applyAlignment="1">
      <alignment vertical="top"/>
    </xf>
    <xf numFmtId="0" fontId="58" fillId="14" borderId="41" xfId="22" applyFont="1" applyFill="1" applyBorder="1" applyAlignment="1">
      <alignment horizontal="right" vertical="top"/>
    </xf>
    <xf numFmtId="167" fontId="58" fillId="14" borderId="41" xfId="22" applyNumberFormat="1" applyFont="1" applyFill="1" applyBorder="1" applyAlignment="1">
      <alignment horizontal="right" vertical="top"/>
    </xf>
    <xf numFmtId="0" fontId="58" fillId="7" borderId="0" xfId="22" applyFont="1" applyFill="1" applyAlignment="1">
      <alignment vertical="top"/>
    </xf>
    <xf numFmtId="0" fontId="58" fillId="7" borderId="0" xfId="22" applyFont="1" applyFill="1" applyAlignment="1">
      <alignment horizontal="right" vertical="top"/>
    </xf>
    <xf numFmtId="167" fontId="58" fillId="7" borderId="0" xfId="22" applyNumberFormat="1" applyFont="1" applyFill="1" applyAlignment="1">
      <alignment horizontal="right" vertical="top"/>
    </xf>
    <xf numFmtId="167" fontId="78" fillId="7" borderId="0" xfId="22" applyNumberFormat="1" applyFont="1" applyFill="1" applyAlignment="1">
      <alignment horizontal="center" vertical="top"/>
    </xf>
    <xf numFmtId="42" fontId="58" fillId="7" borderId="0" xfId="22" applyNumberFormat="1" applyFont="1" applyFill="1" applyAlignment="1">
      <alignment horizontal="right" vertical="top"/>
    </xf>
    <xf numFmtId="0" fontId="65" fillId="0" borderId="0" xfId="22" applyFont="1" applyAlignment="1">
      <alignment horizontal="center" vertical="top" wrapText="1"/>
    </xf>
    <xf numFmtId="42" fontId="64" fillId="0" borderId="0" xfId="22" applyNumberFormat="1" applyFont="1" applyAlignment="1">
      <alignment horizontal="left" vertical="top" wrapText="1"/>
    </xf>
    <xf numFmtId="0" fontId="57" fillId="0" borderId="20" xfId="22" applyFont="1" applyBorder="1"/>
    <xf numFmtId="5" fontId="56" fillId="5" borderId="21" xfId="22" applyNumberFormat="1" applyFont="1" applyFill="1" applyBorder="1" applyAlignment="1">
      <alignment horizontal="right"/>
    </xf>
    <xf numFmtId="5" fontId="55" fillId="5" borderId="21" xfId="22" applyNumberFormat="1" applyFont="1" applyFill="1" applyBorder="1" applyAlignment="1">
      <alignment horizontal="center"/>
    </xf>
    <xf numFmtId="42" fontId="56" fillId="5" borderId="22" xfId="22" applyNumberFormat="1" applyFont="1" applyFill="1" applyBorder="1" applyAlignment="1">
      <alignment horizontal="right"/>
    </xf>
    <xf numFmtId="0" fontId="84" fillId="11" borderId="23" xfId="22" applyFont="1" applyFill="1" applyBorder="1" applyAlignment="1">
      <alignment wrapText="1"/>
    </xf>
    <xf numFmtId="0" fontId="55" fillId="0" borderId="0" xfId="22" applyFont="1" applyAlignment="1">
      <alignment horizontal="center" wrapText="1"/>
    </xf>
    <xf numFmtId="0" fontId="61" fillId="0" borderId="0" xfId="22" applyFont="1" applyAlignment="1">
      <alignment horizontal="center" wrapText="1"/>
    </xf>
    <xf numFmtId="0" fontId="61" fillId="0" borderId="0" xfId="22" applyFont="1" applyAlignment="1">
      <alignment horizontal="center"/>
    </xf>
    <xf numFmtId="0" fontId="61" fillId="0" borderId="0" xfId="22" applyFont="1" applyAlignment="1">
      <alignment horizontal="center" vertical="top"/>
    </xf>
    <xf numFmtId="0" fontId="55" fillId="0" borderId="0" xfId="22" applyFont="1" applyAlignment="1">
      <alignment horizontal="center" vertical="top"/>
    </xf>
    <xf numFmtId="42" fontId="55" fillId="0" borderId="19" xfId="22" applyNumberFormat="1" applyFont="1" applyBorder="1" applyAlignment="1">
      <alignment vertical="top"/>
    </xf>
    <xf numFmtId="0" fontId="55" fillId="0" borderId="23" xfId="22" applyFont="1" applyBorder="1" applyAlignment="1">
      <alignment wrapText="1"/>
    </xf>
    <xf numFmtId="5" fontId="55" fillId="0" borderId="0" xfId="22" applyNumberFormat="1" applyFont="1" applyAlignment="1">
      <alignment horizontal="right"/>
    </xf>
    <xf numFmtId="1" fontId="55" fillId="0" borderId="0" xfId="22" applyNumberFormat="1" applyFont="1" applyAlignment="1">
      <alignment horizontal="center"/>
    </xf>
    <xf numFmtId="5" fontId="55" fillId="3" borderId="0" xfId="22" applyNumberFormat="1" applyFont="1" applyFill="1" applyAlignment="1">
      <alignment horizontal="right"/>
    </xf>
    <xf numFmtId="5" fontId="55" fillId="0" borderId="0" xfId="22" applyNumberFormat="1" applyFont="1"/>
    <xf numFmtId="42" fontId="54" fillId="0" borderId="19" xfId="22" applyNumberFormat="1" applyFont="1" applyBorder="1" applyAlignment="1">
      <alignment horizontal="right"/>
    </xf>
    <xf numFmtId="44" fontId="71" fillId="0" borderId="0" xfId="1" applyFont="1" applyAlignment="1" applyProtection="1">
      <alignment horizontal="right"/>
    </xf>
    <xf numFmtId="0" fontId="55" fillId="0" borderId="23" xfId="22" applyFont="1" applyBorder="1" applyAlignment="1">
      <alignment vertical="top" wrapText="1"/>
    </xf>
    <xf numFmtId="42" fontId="54" fillId="0" borderId="19" xfId="22" applyNumberFormat="1" applyFont="1" applyBorder="1"/>
    <xf numFmtId="165" fontId="55" fillId="0" borderId="0" xfId="22" applyNumberFormat="1" applyFont="1" applyAlignment="1">
      <alignment horizontal="right"/>
    </xf>
    <xf numFmtId="0" fontId="55" fillId="14" borderId="0" xfId="22" applyFont="1" applyFill="1" applyAlignment="1">
      <alignment horizontal="left" vertical="top" wrapText="1"/>
    </xf>
    <xf numFmtId="42" fontId="55" fillId="14" borderId="0" xfId="22" applyNumberFormat="1" applyFont="1" applyFill="1" applyAlignment="1">
      <alignment horizontal="left" vertical="top" wrapText="1"/>
    </xf>
    <xf numFmtId="0" fontId="82" fillId="0" borderId="23" xfId="22" applyFont="1" applyBorder="1" applyAlignment="1">
      <alignment wrapText="1"/>
    </xf>
    <xf numFmtId="0" fontId="61" fillId="0" borderId="0" xfId="22" applyFont="1" applyAlignment="1">
      <alignment horizontal="center" vertical="top" wrapText="1"/>
    </xf>
    <xf numFmtId="43" fontId="71" fillId="0" borderId="6" xfId="12" applyFont="1" applyBorder="1" applyAlignment="1" applyProtection="1"/>
    <xf numFmtId="0" fontId="55" fillId="0" borderId="15" xfId="22" applyFont="1" applyBorder="1" applyAlignment="1">
      <alignment horizontal="left" vertical="top" wrapText="1"/>
    </xf>
    <xf numFmtId="0" fontId="55" fillId="0" borderId="15" xfId="22" applyFont="1" applyBorder="1"/>
    <xf numFmtId="0" fontId="55" fillId="0" borderId="15" xfId="22" applyFont="1" applyBorder="1" applyAlignment="1">
      <alignment horizontal="center"/>
    </xf>
    <xf numFmtId="42" fontId="55" fillId="0" borderId="26" xfId="22" applyNumberFormat="1" applyFont="1" applyBorder="1"/>
    <xf numFmtId="0" fontId="55" fillId="14" borderId="0" xfId="22" applyFont="1" applyFill="1"/>
    <xf numFmtId="0" fontId="55" fillId="14" borderId="0" xfId="22" applyFont="1" applyFill="1" applyAlignment="1">
      <alignment horizontal="center"/>
    </xf>
    <xf numFmtId="42" fontId="55" fillId="14" borderId="0" xfId="22" applyNumberFormat="1" applyFont="1" applyFill="1"/>
    <xf numFmtId="0" fontId="57" fillId="5" borderId="20" xfId="22" applyFont="1" applyFill="1" applyBorder="1"/>
    <xf numFmtId="5" fontId="55" fillId="10" borderId="21" xfId="22" applyNumberFormat="1" applyFont="1" applyFill="1" applyBorder="1" applyAlignment="1">
      <alignment horizontal="center"/>
    </xf>
    <xf numFmtId="42" fontId="56" fillId="10" borderId="22" xfId="22" applyNumberFormat="1" applyFont="1" applyFill="1" applyBorder="1" applyAlignment="1">
      <alignment horizontal="right"/>
    </xf>
    <xf numFmtId="0" fontId="55" fillId="0" borderId="15" xfId="22" applyFont="1" applyBorder="1" applyAlignment="1">
      <alignment vertical="top" wrapText="1"/>
    </xf>
    <xf numFmtId="0" fontId="55" fillId="0" borderId="15" xfId="22" applyFont="1" applyBorder="1" applyAlignment="1">
      <alignment horizontal="center" vertical="top" wrapText="1"/>
    </xf>
    <xf numFmtId="42" fontId="55" fillId="0" borderId="26" xfId="22" applyNumberFormat="1" applyFont="1" applyBorder="1" applyAlignment="1">
      <alignment vertical="top" wrapText="1"/>
    </xf>
    <xf numFmtId="0" fontId="55" fillId="0" borderId="0" xfId="22" applyFont="1" applyAlignment="1">
      <alignment horizontal="left" vertical="top" wrapText="1"/>
    </xf>
    <xf numFmtId="0" fontId="55" fillId="0" borderId="0" xfId="22" applyFont="1" applyAlignment="1">
      <alignment vertical="top" wrapText="1"/>
    </xf>
    <xf numFmtId="0" fontId="55" fillId="0" borderId="0" xfId="22" applyFont="1" applyAlignment="1">
      <alignment horizontal="center" vertical="top" wrapText="1"/>
    </xf>
    <xf numFmtId="42" fontId="55" fillId="0" borderId="0" xfId="22" applyNumberFormat="1" applyFont="1" applyAlignment="1">
      <alignment vertical="top" wrapText="1"/>
    </xf>
    <xf numFmtId="42" fontId="55" fillId="0" borderId="19" xfId="22" applyNumberFormat="1" applyFont="1" applyBorder="1" applyAlignment="1">
      <alignment vertical="top" wrapText="1"/>
    </xf>
    <xf numFmtId="5" fontId="55" fillId="14" borderId="0" xfId="22" applyNumberFormat="1" applyFont="1" applyFill="1" applyAlignment="1">
      <alignment horizontal="left" vertical="top" wrapText="1"/>
    </xf>
    <xf numFmtId="0" fontId="56" fillId="0" borderId="20" xfId="22" applyFont="1" applyBorder="1" applyAlignment="1">
      <alignment wrapText="1"/>
    </xf>
    <xf numFmtId="5" fontId="56" fillId="5" borderId="21" xfId="22" applyNumberFormat="1" applyFont="1" applyFill="1" applyBorder="1"/>
    <xf numFmtId="42" fontId="56" fillId="5" borderId="22" xfId="22" applyNumberFormat="1" applyFont="1" applyFill="1" applyBorder="1"/>
    <xf numFmtId="0" fontId="81" fillId="0" borderId="23" xfId="22" applyFont="1" applyBorder="1" applyAlignment="1">
      <alignment wrapText="1"/>
    </xf>
    <xf numFmtId="42" fontId="55" fillId="0" borderId="19" xfId="22" applyNumberFormat="1" applyFont="1" applyBorder="1"/>
    <xf numFmtId="1" fontId="55" fillId="0" borderId="0" xfId="22" applyNumberFormat="1" applyFont="1" applyAlignment="1">
      <alignment horizontal="center" wrapText="1"/>
    </xf>
    <xf numFmtId="0" fontId="65" fillId="0" borderId="0" xfId="15" applyFont="1"/>
    <xf numFmtId="0" fontId="57" fillId="14" borderId="0" xfId="22" applyFont="1" applyFill="1" applyAlignment="1">
      <alignment horizontal="left" vertical="top" wrapText="1"/>
    </xf>
    <xf numFmtId="42" fontId="57" fillId="14" borderId="0" xfId="22" applyNumberFormat="1" applyFont="1" applyFill="1" applyAlignment="1">
      <alignment horizontal="left" vertical="top" wrapText="1"/>
    </xf>
    <xf numFmtId="42" fontId="55" fillId="0" borderId="0" xfId="22" applyNumberFormat="1" applyFont="1"/>
    <xf numFmtId="42" fontId="58" fillId="14" borderId="0" xfId="22" applyNumberFormat="1" applyFont="1" applyFill="1" applyAlignment="1">
      <alignment horizontal="right"/>
    </xf>
    <xf numFmtId="7" fontId="55" fillId="0" borderId="21" xfId="22" applyNumberFormat="1" applyFont="1" applyBorder="1" applyAlignment="1">
      <alignment horizontal="right"/>
    </xf>
    <xf numFmtId="5" fontId="55" fillId="0" borderId="21" xfId="22" applyNumberFormat="1" applyFont="1" applyBorder="1" applyAlignment="1">
      <alignment horizontal="center"/>
    </xf>
    <xf numFmtId="42" fontId="56" fillId="0" borderId="22" xfId="22" applyNumberFormat="1" applyFont="1" applyBorder="1" applyAlignment="1">
      <alignment horizontal="right"/>
    </xf>
    <xf numFmtId="7" fontId="55" fillId="0" borderId="0" xfId="22" applyNumberFormat="1" applyFont="1" applyAlignment="1">
      <alignment horizontal="right"/>
    </xf>
    <xf numFmtId="5" fontId="55" fillId="0" borderId="0" xfId="22" applyNumberFormat="1" applyFont="1" applyAlignment="1">
      <alignment horizontal="center"/>
    </xf>
    <xf numFmtId="42" fontId="56" fillId="0" borderId="19" xfId="22" applyNumberFormat="1" applyFont="1" applyBorder="1" applyAlignment="1">
      <alignment horizontal="right"/>
    </xf>
    <xf numFmtId="7" fontId="55" fillId="0" borderId="0" xfId="22" applyNumberFormat="1" applyFont="1" applyAlignment="1">
      <alignment horizontal="right" wrapText="1"/>
    </xf>
    <xf numFmtId="42" fontId="55" fillId="0" borderId="0" xfId="22" applyNumberFormat="1" applyFont="1" applyAlignment="1">
      <alignment horizontal="left" wrapText="1"/>
    </xf>
    <xf numFmtId="0" fontId="55" fillId="0" borderId="0" xfId="22" applyFont="1" applyAlignment="1">
      <alignment horizontal="left" wrapText="1"/>
    </xf>
    <xf numFmtId="0" fontId="78" fillId="0" borderId="0" xfId="22" applyFont="1"/>
    <xf numFmtId="42" fontId="78" fillId="0" borderId="0" xfId="22" applyNumberFormat="1" applyFont="1"/>
    <xf numFmtId="0" fontId="79" fillId="0" borderId="0" xfId="4" applyFont="1" applyFill="1" applyBorder="1" applyAlignment="1" applyProtection="1">
      <alignment vertical="top"/>
    </xf>
    <xf numFmtId="0" fontId="71" fillId="9" borderId="20" xfId="22" applyFont="1" applyFill="1" applyBorder="1"/>
    <xf numFmtId="44" fontId="56" fillId="9" borderId="21" xfId="22" applyNumberFormat="1" applyFont="1" applyFill="1" applyBorder="1" applyAlignment="1">
      <alignment horizontal="right" wrapText="1"/>
    </xf>
    <xf numFmtId="0" fontId="55" fillId="9" borderId="21" xfId="22" applyFont="1" applyFill="1" applyBorder="1" applyAlignment="1">
      <alignment horizontal="center" wrapText="1"/>
    </xf>
    <xf numFmtId="42" fontId="64" fillId="9" borderId="22" xfId="22" applyNumberFormat="1" applyFont="1" applyFill="1" applyBorder="1" applyAlignment="1">
      <alignment horizontal="left" wrapText="1"/>
    </xf>
    <xf numFmtId="0" fontId="67" fillId="0" borderId="23" xfId="22" applyFont="1" applyBorder="1"/>
    <xf numFmtId="0" fontId="67" fillId="0" borderId="23" xfId="15" applyFont="1" applyBorder="1" applyAlignment="1">
      <alignment horizontal="left" vertical="center" wrapText="1"/>
    </xf>
    <xf numFmtId="0" fontId="78" fillId="0" borderId="0" xfId="22" applyFont="1" applyAlignment="1">
      <alignment horizontal="left"/>
    </xf>
    <xf numFmtId="43" fontId="78" fillId="0" borderId="0" xfId="12" applyFont="1" applyAlignment="1" applyProtection="1">
      <alignment horizontal="left"/>
    </xf>
    <xf numFmtId="0" fontId="54" fillId="0" borderId="0" xfId="22" applyFont="1" applyAlignment="1">
      <alignment horizontal="left"/>
    </xf>
    <xf numFmtId="0" fontId="57" fillId="0" borderId="23" xfId="22" applyFont="1" applyBorder="1" applyAlignment="1">
      <alignment wrapText="1"/>
    </xf>
    <xf numFmtId="0" fontId="57" fillId="0" borderId="0" xfId="22" applyFont="1" applyAlignment="1">
      <alignment wrapText="1"/>
    </xf>
    <xf numFmtId="0" fontId="55" fillId="0" borderId="0" xfId="22" applyFont="1" applyAlignment="1">
      <alignment wrapText="1"/>
    </xf>
    <xf numFmtId="0" fontId="55" fillId="0" borderId="19" xfId="22" applyFont="1" applyBorder="1" applyAlignment="1">
      <alignment wrapText="1"/>
    </xf>
    <xf numFmtId="0" fontId="55" fillId="0" borderId="23" xfId="22" applyFont="1" applyBorder="1"/>
    <xf numFmtId="0" fontId="55" fillId="0" borderId="0" xfId="22" applyFont="1" applyAlignment="1">
      <alignment horizontal="right" wrapText="1"/>
    </xf>
    <xf numFmtId="42" fontId="55" fillId="0" borderId="19" xfId="22" applyNumberFormat="1" applyFont="1" applyBorder="1" applyAlignment="1">
      <alignment horizontal="left" wrapText="1"/>
    </xf>
    <xf numFmtId="0" fontId="69" fillId="0" borderId="0" xfId="4" applyFont="1" applyFill="1" applyAlignment="1" applyProtection="1"/>
    <xf numFmtId="0" fontId="55" fillId="0" borderId="25" xfId="15" applyFont="1" applyBorder="1" applyAlignment="1">
      <alignment wrapText="1"/>
    </xf>
    <xf numFmtId="0" fontId="54" fillId="14" borderId="20" xfId="22" applyFont="1" applyFill="1" applyBorder="1"/>
    <xf numFmtId="0" fontId="64" fillId="14" borderId="21" xfId="22" applyFont="1" applyFill="1" applyBorder="1" applyAlignment="1">
      <alignment horizontal="left" vertical="top" wrapText="1"/>
    </xf>
    <xf numFmtId="6" fontId="64" fillId="14" borderId="21" xfId="22" applyNumberFormat="1" applyFont="1" applyFill="1" applyBorder="1" applyAlignment="1">
      <alignment horizontal="left" vertical="top" wrapText="1"/>
    </xf>
    <xf numFmtId="0" fontId="65" fillId="14" borderId="21" xfId="22" applyFont="1" applyFill="1" applyBorder="1" applyAlignment="1">
      <alignment horizontal="center" vertical="top" wrapText="1"/>
    </xf>
    <xf numFmtId="42" fontId="64" fillId="14" borderId="22" xfId="22" applyNumberFormat="1" applyFont="1" applyFill="1" applyBorder="1" applyAlignment="1">
      <alignment horizontal="left" vertical="top" wrapText="1"/>
    </xf>
    <xf numFmtId="0" fontId="57" fillId="9" borderId="20" xfId="15" applyFont="1" applyFill="1" applyBorder="1" applyAlignment="1">
      <alignment horizontal="left" wrapText="1"/>
    </xf>
    <xf numFmtId="167" fontId="56" fillId="9" borderId="21" xfId="22" applyNumberFormat="1" applyFont="1" applyFill="1" applyBorder="1" applyAlignment="1">
      <alignment horizontal="left" wrapText="1"/>
    </xf>
    <xf numFmtId="167" fontId="55" fillId="9" borderId="21" xfId="22" applyNumberFormat="1" applyFont="1" applyFill="1" applyBorder="1" applyAlignment="1">
      <alignment horizontal="center" wrapText="1"/>
    </xf>
    <xf numFmtId="42" fontId="56" fillId="9" borderId="22" xfId="22" applyNumberFormat="1" applyFont="1" applyFill="1" applyBorder="1" applyAlignment="1">
      <alignment horizontal="left" wrapText="1"/>
    </xf>
    <xf numFmtId="0" fontId="74" fillId="0" borderId="23" xfId="22" applyFont="1" applyBorder="1"/>
    <xf numFmtId="0" fontId="55" fillId="0" borderId="0" xfId="22" applyFont="1" applyAlignment="1">
      <alignment horizontal="left" vertical="top"/>
    </xf>
    <xf numFmtId="0" fontId="54" fillId="0" borderId="0" xfId="22" applyFont="1" applyAlignment="1">
      <alignment horizontal="left" vertical="top"/>
    </xf>
    <xf numFmtId="0" fontId="57" fillId="11" borderId="23" xfId="22" applyFont="1" applyFill="1" applyBorder="1" applyAlignment="1">
      <alignment wrapText="1"/>
    </xf>
    <xf numFmtId="0" fontId="57" fillId="0" borderId="23" xfId="22" applyFont="1" applyBorder="1"/>
    <xf numFmtId="0" fontId="57" fillId="0" borderId="0" xfId="22" applyFont="1"/>
    <xf numFmtId="0" fontId="61" fillId="0" borderId="0" xfId="22" applyFont="1" applyAlignment="1">
      <alignment wrapText="1"/>
    </xf>
    <xf numFmtId="0" fontId="61" fillId="0" borderId="19" xfId="22" applyFont="1" applyBorder="1" applyAlignment="1">
      <alignment wrapText="1"/>
    </xf>
    <xf numFmtId="42" fontId="61" fillId="0" borderId="19" xfId="22" applyNumberFormat="1" applyFont="1" applyBorder="1" applyAlignment="1">
      <alignment horizontal="left" wrapText="1"/>
    </xf>
    <xf numFmtId="0" fontId="67" fillId="0" borderId="25" xfId="15" applyFont="1" applyBorder="1" applyAlignment="1">
      <alignment wrapText="1"/>
    </xf>
    <xf numFmtId="0" fontId="61" fillId="14" borderId="0" xfId="22" applyFont="1" applyFill="1" applyAlignment="1">
      <alignment horizontal="left" vertical="top" wrapText="1"/>
    </xf>
    <xf numFmtId="0" fontId="55" fillId="14" borderId="0" xfId="22" applyFont="1" applyFill="1" applyAlignment="1">
      <alignment horizontal="center" vertical="top" wrapText="1"/>
    </xf>
    <xf numFmtId="42" fontId="61" fillId="14" borderId="0" xfId="22" applyNumberFormat="1" applyFont="1" applyFill="1" applyAlignment="1">
      <alignment horizontal="left" vertical="top" wrapText="1"/>
    </xf>
    <xf numFmtId="0" fontId="57" fillId="9" borderId="20" xfId="15" applyFont="1" applyFill="1" applyBorder="1"/>
    <xf numFmtId="42" fontId="56" fillId="9" borderId="21" xfId="22" applyNumberFormat="1" applyFont="1" applyFill="1" applyBorder="1" applyAlignment="1">
      <alignment horizontal="right" wrapText="1"/>
    </xf>
    <xf numFmtId="0" fontId="67" fillId="0" borderId="23" xfId="22" applyFont="1" applyBorder="1" applyAlignment="1">
      <alignment wrapText="1"/>
    </xf>
    <xf numFmtId="0" fontId="67" fillId="0" borderId="23" xfId="15" applyFont="1" applyBorder="1" applyAlignment="1">
      <alignment vertical="center" wrapText="1"/>
    </xf>
    <xf numFmtId="167" fontId="54" fillId="0" borderId="0" xfId="22" applyNumberFormat="1" applyFont="1" applyAlignment="1">
      <alignment horizontal="left"/>
    </xf>
    <xf numFmtId="0" fontId="74" fillId="0" borderId="23" xfId="22" applyFont="1" applyBorder="1" applyAlignment="1">
      <alignment wrapText="1"/>
    </xf>
    <xf numFmtId="0" fontId="61" fillId="0" borderId="0" xfId="22" applyFont="1" applyAlignment="1">
      <alignment horizontal="left" wrapText="1"/>
    </xf>
    <xf numFmtId="0" fontId="67" fillId="0" borderId="25" xfId="15" applyFont="1" applyBorder="1" applyAlignment="1">
      <alignment horizontal="left" wrapText="1"/>
    </xf>
    <xf numFmtId="0" fontId="57" fillId="7" borderId="20" xfId="22" applyFont="1" applyFill="1" applyBorder="1" applyAlignment="1">
      <alignment wrapText="1"/>
    </xf>
    <xf numFmtId="5" fontId="56" fillId="7" borderId="21" xfId="22" applyNumberFormat="1" applyFont="1" applyFill="1" applyBorder="1" applyAlignment="1">
      <alignment horizontal="right" wrapText="1"/>
    </xf>
    <xf numFmtId="167" fontId="56" fillId="7" borderId="21" xfId="22" applyNumberFormat="1" applyFont="1" applyFill="1" applyBorder="1" applyAlignment="1">
      <alignment horizontal="left" wrapText="1"/>
    </xf>
    <xf numFmtId="167" fontId="55" fillId="7" borderId="21" xfId="22" applyNumberFormat="1" applyFont="1" applyFill="1" applyBorder="1" applyAlignment="1">
      <alignment horizontal="center" wrapText="1"/>
    </xf>
    <xf numFmtId="42" fontId="56" fillId="7" borderId="22" xfId="22" applyNumberFormat="1" applyFont="1" applyFill="1" applyBorder="1" applyAlignment="1">
      <alignment horizontal="left" wrapText="1"/>
    </xf>
    <xf numFmtId="0" fontId="73" fillId="0" borderId="0" xfId="22" applyFont="1"/>
    <xf numFmtId="0" fontId="57" fillId="0" borderId="23" xfId="22" applyFont="1" applyBorder="1" applyAlignment="1">
      <alignment vertical="center" wrapText="1"/>
    </xf>
    <xf numFmtId="0" fontId="55" fillId="0" borderId="23" xfId="22" applyFont="1" applyBorder="1" applyAlignment="1">
      <alignment horizontal="left" wrapText="1"/>
    </xf>
    <xf numFmtId="164" fontId="55" fillId="0" borderId="0" xfId="22" applyNumberFormat="1" applyFont="1" applyAlignment="1">
      <alignment horizontal="right"/>
    </xf>
    <xf numFmtId="0" fontId="56" fillId="0" borderId="24" xfId="22" applyFont="1" applyBorder="1" applyAlignment="1">
      <alignment horizontal="left" wrapText="1"/>
    </xf>
    <xf numFmtId="0" fontId="55" fillId="0" borderId="6" xfId="22" applyFont="1" applyBorder="1" applyAlignment="1">
      <alignment horizontal="left" wrapText="1"/>
    </xf>
    <xf numFmtId="0" fontId="61" fillId="0" borderId="6" xfId="22" applyFont="1" applyBorder="1" applyAlignment="1">
      <alignment horizontal="left" wrapText="1"/>
    </xf>
    <xf numFmtId="7" fontId="55" fillId="0" borderId="6" xfId="22" applyNumberFormat="1" applyFont="1" applyBorder="1" applyAlignment="1">
      <alignment horizontal="right"/>
    </xf>
    <xf numFmtId="0" fontId="57" fillId="0" borderId="25" xfId="22" applyFont="1" applyBorder="1" applyAlignment="1">
      <alignment wrapText="1"/>
    </xf>
    <xf numFmtId="43" fontId="54" fillId="0" borderId="0" xfId="12" applyFont="1" applyProtection="1"/>
    <xf numFmtId="167" fontId="55" fillId="0" borderId="0" xfId="22" applyNumberFormat="1" applyFont="1" applyAlignment="1">
      <alignment horizontal="center" wrapText="1"/>
    </xf>
    <xf numFmtId="0" fontId="61" fillId="0" borderId="25" xfId="22" applyFont="1" applyBorder="1" applyAlignment="1">
      <alignment horizontal="left" wrapText="1"/>
    </xf>
    <xf numFmtId="0" fontId="61" fillId="14" borderId="7" xfId="22" applyFont="1" applyFill="1" applyBorder="1" applyAlignment="1">
      <alignment horizontal="left" vertical="top" wrapText="1"/>
    </xf>
    <xf numFmtId="0" fontId="55" fillId="14" borderId="7" xfId="22" applyFont="1" applyFill="1" applyBorder="1" applyAlignment="1">
      <alignment horizontal="left" vertical="top" wrapText="1"/>
    </xf>
    <xf numFmtId="0" fontId="55" fillId="14" borderId="7" xfId="22" applyFont="1" applyFill="1" applyBorder="1" applyAlignment="1">
      <alignment horizontal="center" vertical="top" wrapText="1"/>
    </xf>
    <xf numFmtId="42" fontId="61" fillId="14" borderId="7" xfId="22" applyNumberFormat="1" applyFont="1" applyFill="1" applyBorder="1" applyAlignment="1">
      <alignment horizontal="left" vertical="top" wrapText="1"/>
    </xf>
    <xf numFmtId="0" fontId="57" fillId="7" borderId="23" xfId="22" applyFont="1" applyFill="1" applyBorder="1" applyAlignment="1">
      <alignment wrapText="1"/>
    </xf>
    <xf numFmtId="5" fontId="56" fillId="7" borderId="0" xfId="22" applyNumberFormat="1" applyFont="1" applyFill="1" applyAlignment="1">
      <alignment horizontal="right" wrapText="1"/>
    </xf>
    <xf numFmtId="167" fontId="56" fillId="7" borderId="0" xfId="22" applyNumberFormat="1" applyFont="1" applyFill="1" applyAlignment="1">
      <alignment horizontal="left" wrapText="1"/>
    </xf>
    <xf numFmtId="167" fontId="55" fillId="7" borderId="0" xfId="22" applyNumberFormat="1" applyFont="1" applyFill="1" applyAlignment="1">
      <alignment horizontal="center" wrapText="1"/>
    </xf>
    <xf numFmtId="42" fontId="56" fillId="7" borderId="19" xfId="22" applyNumberFormat="1" applyFont="1" applyFill="1" applyBorder="1" applyAlignment="1">
      <alignment horizontal="left" wrapText="1"/>
    </xf>
    <xf numFmtId="0" fontId="57" fillId="0" borderId="23" xfId="22" applyFont="1" applyBorder="1" applyAlignment="1">
      <alignment horizontal="left" wrapText="1"/>
    </xf>
    <xf numFmtId="7" fontId="61" fillId="0" borderId="0" xfId="22" applyNumberFormat="1" applyFont="1" applyAlignment="1">
      <alignment horizontal="left" wrapText="1"/>
    </xf>
    <xf numFmtId="0" fontId="67" fillId="0" borderId="23" xfId="15" applyFont="1" applyBorder="1" applyAlignment="1">
      <alignment wrapText="1"/>
    </xf>
    <xf numFmtId="0" fontId="64" fillId="0" borderId="0" xfId="22" applyFont="1"/>
    <xf numFmtId="5" fontId="56" fillId="9" borderId="21" xfId="22" applyNumberFormat="1" applyFont="1" applyFill="1" applyBorder="1" applyAlignment="1">
      <alignment horizontal="right"/>
    </xf>
    <xf numFmtId="0" fontId="55" fillId="0" borderId="23" xfId="22" applyFont="1" applyBorder="1" applyAlignment="1">
      <alignment horizontal="left"/>
    </xf>
    <xf numFmtId="0" fontId="66" fillId="0" borderId="25" xfId="15" applyFont="1" applyBorder="1" applyAlignment="1">
      <alignment wrapText="1"/>
    </xf>
    <xf numFmtId="5" fontId="56" fillId="7" borderId="21" xfId="22" applyNumberFormat="1" applyFont="1" applyFill="1" applyBorder="1" applyAlignment="1">
      <alignment horizontal="right"/>
    </xf>
    <xf numFmtId="0" fontId="69" fillId="0" borderId="0" xfId="4" applyFont="1" applyFill="1" applyBorder="1" applyAlignment="1" applyProtection="1">
      <alignment vertical="top" wrapText="1"/>
    </xf>
    <xf numFmtId="167" fontId="56" fillId="0" borderId="0" xfId="22" applyNumberFormat="1" applyFont="1" applyAlignment="1">
      <alignment horizontal="left" wrapText="1"/>
    </xf>
    <xf numFmtId="42" fontId="56" fillId="0" borderId="19" xfId="22" applyNumberFormat="1" applyFont="1" applyBorder="1" applyAlignment="1">
      <alignment horizontal="left" wrapText="1"/>
    </xf>
    <xf numFmtId="0" fontId="55" fillId="11" borderId="0" xfId="22" applyFont="1" applyFill="1"/>
    <xf numFmtId="5" fontId="55" fillId="11" borderId="0" xfId="23" applyNumberFormat="1" applyFont="1" applyFill="1" applyAlignment="1">
      <alignment horizontal="right"/>
    </xf>
    <xf numFmtId="0" fontId="55" fillId="11" borderId="0" xfId="22" applyFont="1" applyFill="1" applyAlignment="1">
      <alignment horizontal="center"/>
    </xf>
    <xf numFmtId="42" fontId="55" fillId="11" borderId="19" xfId="22" applyNumberFormat="1" applyFont="1" applyFill="1" applyBorder="1"/>
    <xf numFmtId="0" fontId="57" fillId="7" borderId="23" xfId="22" applyFont="1" applyFill="1" applyBorder="1"/>
    <xf numFmtId="167" fontId="56" fillId="7" borderId="0" xfId="22" applyNumberFormat="1" applyFont="1" applyFill="1" applyAlignment="1">
      <alignment horizontal="center" wrapText="1"/>
    </xf>
    <xf numFmtId="0" fontId="67" fillId="11" borderId="23" xfId="22" applyFont="1" applyFill="1" applyBorder="1" applyAlignment="1">
      <alignment wrapText="1"/>
    </xf>
    <xf numFmtId="0" fontId="55" fillId="11" borderId="0" xfId="15" applyFont="1" applyFill="1" applyAlignment="1">
      <alignment wrapText="1"/>
    </xf>
    <xf numFmtId="0" fontId="55" fillId="11" borderId="0" xfId="22" applyFont="1" applyFill="1" applyAlignment="1">
      <alignment horizontal="left" wrapText="1"/>
    </xf>
    <xf numFmtId="167" fontId="56" fillId="11" borderId="0" xfId="22" applyNumberFormat="1" applyFont="1" applyFill="1" applyAlignment="1">
      <alignment horizontal="left" wrapText="1"/>
    </xf>
    <xf numFmtId="167" fontId="56" fillId="11" borderId="0" xfId="22" applyNumberFormat="1" applyFont="1" applyFill="1" applyAlignment="1">
      <alignment horizontal="center" wrapText="1"/>
    </xf>
    <xf numFmtId="42" fontId="56" fillId="11" borderId="19" xfId="22" applyNumberFormat="1" applyFont="1" applyFill="1" applyBorder="1" applyAlignment="1">
      <alignment horizontal="left" wrapText="1"/>
    </xf>
    <xf numFmtId="0" fontId="67" fillId="11" borderId="23" xfId="22" applyFont="1" applyFill="1" applyBorder="1" applyAlignment="1">
      <alignment vertical="top" wrapText="1"/>
    </xf>
    <xf numFmtId="0" fontId="67" fillId="0" borderId="23" xfId="22" applyFont="1" applyBorder="1" applyAlignment="1">
      <alignment vertical="top" wrapText="1"/>
    </xf>
    <xf numFmtId="0" fontId="57" fillId="0" borderId="23" xfId="22" applyFont="1" applyBorder="1" applyAlignment="1">
      <alignment horizontal="left" vertical="top" wrapText="1"/>
    </xf>
    <xf numFmtId="0" fontId="61" fillId="0" borderId="0" xfId="22" applyFont="1" applyAlignment="1">
      <alignment horizontal="left" vertical="top" wrapText="1"/>
    </xf>
    <xf numFmtId="42" fontId="61" fillId="0" borderId="19" xfId="22" applyNumberFormat="1" applyFont="1" applyBorder="1" applyAlignment="1">
      <alignment horizontal="left" vertical="top" wrapText="1"/>
    </xf>
    <xf numFmtId="0" fontId="55" fillId="0" borderId="23" xfId="22" applyFont="1" applyBorder="1" applyAlignment="1">
      <alignment horizontal="left" vertical="top" wrapText="1"/>
    </xf>
    <xf numFmtId="7" fontId="55" fillId="0" borderId="0" xfId="22" applyNumberFormat="1" applyFont="1" applyAlignment="1">
      <alignment horizontal="right" vertical="top" wrapText="1"/>
    </xf>
    <xf numFmtId="7" fontId="55" fillId="0" borderId="0" xfId="22" applyNumberFormat="1" applyFont="1" applyAlignment="1">
      <alignment vertical="top" wrapText="1"/>
    </xf>
    <xf numFmtId="0" fontId="55" fillId="0" borderId="24" xfId="22" applyFont="1" applyBorder="1" applyAlignment="1">
      <alignment horizontal="left" vertical="top" wrapText="1"/>
    </xf>
    <xf numFmtId="0" fontId="55" fillId="0" borderId="6" xfId="22" applyFont="1" applyBorder="1" applyAlignment="1">
      <alignment horizontal="left" vertical="top" wrapText="1"/>
    </xf>
    <xf numFmtId="0" fontId="61" fillId="0" borderId="6" xfId="22" applyFont="1" applyBorder="1" applyAlignment="1">
      <alignment horizontal="left" vertical="top" wrapText="1"/>
    </xf>
    <xf numFmtId="0" fontId="57" fillId="11" borderId="25" xfId="22" applyFont="1" applyFill="1" applyBorder="1" applyAlignment="1">
      <alignment vertical="top" wrapText="1"/>
    </xf>
    <xf numFmtId="164" fontId="71" fillId="7" borderId="0" xfId="22" applyNumberFormat="1" applyFont="1" applyFill="1"/>
    <xf numFmtId="0" fontId="54" fillId="7" borderId="0" xfId="22" applyFont="1" applyFill="1"/>
    <xf numFmtId="42" fontId="54" fillId="7" borderId="19" xfId="22" applyNumberFormat="1" applyFont="1" applyFill="1" applyBorder="1"/>
    <xf numFmtId="5" fontId="56" fillId="0" borderId="0" xfId="22" applyNumberFormat="1" applyFont="1" applyAlignment="1">
      <alignment horizontal="right" wrapText="1"/>
    </xf>
    <xf numFmtId="3" fontId="70" fillId="0" borderId="0" xfId="22" applyNumberFormat="1" applyFont="1" applyAlignment="1">
      <alignment horizontal="left" vertical="top" wrapText="1"/>
    </xf>
    <xf numFmtId="5" fontId="69" fillId="0" borderId="0" xfId="4" applyNumberFormat="1" applyFont="1" applyFill="1" applyAlignment="1" applyProtection="1">
      <alignment vertical="top" wrapText="1"/>
    </xf>
    <xf numFmtId="0" fontId="67" fillId="0" borderId="23" xfId="22" applyFont="1" applyBorder="1" applyAlignment="1">
      <alignment vertical="center" wrapText="1"/>
    </xf>
    <xf numFmtId="0" fontId="67" fillId="0" borderId="23" xfId="22" applyFont="1" applyBorder="1" applyAlignment="1">
      <alignment horizontal="left" vertical="center" wrapText="1"/>
    </xf>
    <xf numFmtId="0" fontId="64" fillId="0" borderId="0" xfId="22" applyFont="1" applyAlignment="1">
      <alignment horizontal="left" wrapText="1"/>
    </xf>
    <xf numFmtId="42" fontId="64" fillId="0" borderId="19" xfId="22" applyNumberFormat="1" applyFont="1" applyBorder="1" applyAlignment="1">
      <alignment horizontal="left" wrapText="1"/>
    </xf>
    <xf numFmtId="0" fontId="64" fillId="0" borderId="0" xfId="22" applyFont="1" applyAlignment="1">
      <alignment horizontal="center" wrapText="1"/>
    </xf>
    <xf numFmtId="5" fontId="66" fillId="0" borderId="0" xfId="15" applyNumberFormat="1" applyFont="1"/>
    <xf numFmtId="5" fontId="66" fillId="0" borderId="6" xfId="15" applyNumberFormat="1" applyFont="1" applyBorder="1"/>
    <xf numFmtId="5" fontId="54" fillId="0" borderId="0" xfId="22" applyNumberFormat="1" applyFont="1"/>
    <xf numFmtId="5" fontId="55" fillId="0" borderId="6" xfId="22" applyNumberFormat="1" applyFont="1" applyBorder="1" applyAlignment="1">
      <alignment horizontal="right"/>
    </xf>
    <xf numFmtId="0" fontId="67" fillId="0" borderId="25" xfId="22" applyFont="1" applyBorder="1" applyAlignment="1">
      <alignment wrapText="1"/>
    </xf>
    <xf numFmtId="0" fontId="67" fillId="7" borderId="20" xfId="22" applyFont="1" applyFill="1" applyBorder="1" applyAlignment="1">
      <alignment horizontal="left" vertical="top" wrapText="1"/>
    </xf>
    <xf numFmtId="168" fontId="54" fillId="7" borderId="21" xfId="1" applyNumberFormat="1" applyFont="1" applyFill="1" applyBorder="1" applyProtection="1"/>
    <xf numFmtId="0" fontId="54" fillId="7" borderId="21" xfId="22" applyFont="1" applyFill="1" applyBorder="1"/>
    <xf numFmtId="42" fontId="54" fillId="7" borderId="22" xfId="22" applyNumberFormat="1" applyFont="1" applyFill="1" applyBorder="1"/>
    <xf numFmtId="0" fontId="70" fillId="0" borderId="0" xfId="22" applyFont="1" applyAlignment="1">
      <alignment horizontal="left" vertical="top" wrapText="1"/>
    </xf>
    <xf numFmtId="0" fontId="69" fillId="0" borderId="0" xfId="4" applyFont="1" applyFill="1" applyAlignment="1" applyProtection="1">
      <alignment vertical="top" wrapText="1"/>
    </xf>
    <xf numFmtId="0" fontId="57" fillId="0" borderId="23" xfId="22" applyFont="1" applyBorder="1" applyAlignment="1">
      <alignment vertical="top" wrapText="1"/>
    </xf>
    <xf numFmtId="0" fontId="61" fillId="0" borderId="0" xfId="22" applyFont="1" applyAlignment="1">
      <alignment vertical="top" wrapText="1"/>
    </xf>
    <xf numFmtId="0" fontId="64" fillId="0" borderId="0" xfId="22" applyFont="1" applyAlignment="1">
      <alignment horizontal="left" vertical="top" wrapText="1"/>
    </xf>
    <xf numFmtId="42" fontId="64" fillId="0" borderId="19" xfId="22" applyNumberFormat="1" applyFont="1" applyBorder="1" applyAlignment="1">
      <alignment horizontal="left" vertical="top" wrapText="1"/>
    </xf>
    <xf numFmtId="0" fontId="56" fillId="0" borderId="0" xfId="22" applyFont="1" applyAlignment="1">
      <alignment horizontal="right" vertical="top" wrapText="1"/>
    </xf>
    <xf numFmtId="0" fontId="67" fillId="0" borderId="25" xfId="22" applyFont="1" applyBorder="1" applyAlignment="1">
      <alignment vertical="center" wrapText="1"/>
    </xf>
    <xf numFmtId="0" fontId="55" fillId="0" borderId="0" xfId="15" applyFont="1" applyAlignment="1">
      <alignment horizontal="center" wrapText="1"/>
    </xf>
    <xf numFmtId="0" fontId="55" fillId="0" borderId="0" xfId="15" applyFont="1" applyAlignment="1">
      <alignment horizontal="right" wrapText="1"/>
    </xf>
    <xf numFmtId="0" fontId="55" fillId="0" borderId="23" xfId="15" applyFont="1" applyBorder="1" applyAlignment="1">
      <alignment wrapText="1"/>
    </xf>
    <xf numFmtId="0" fontId="55" fillId="0" borderId="0" xfId="15" applyFont="1" applyAlignment="1">
      <alignment wrapText="1"/>
    </xf>
    <xf numFmtId="0" fontId="55" fillId="0" borderId="0" xfId="15" applyFont="1" applyAlignment="1">
      <alignment horizontal="left" wrapText="1"/>
    </xf>
    <xf numFmtId="5" fontId="55" fillId="0" borderId="7" xfId="22" applyNumberFormat="1" applyFont="1" applyBorder="1" applyAlignment="1">
      <alignment horizontal="right"/>
    </xf>
    <xf numFmtId="0" fontId="55" fillId="0" borderId="7" xfId="22" applyFont="1" applyBorder="1" applyAlignment="1">
      <alignment horizontal="center" wrapText="1"/>
    </xf>
    <xf numFmtId="42" fontId="61" fillId="0" borderId="18" xfId="22" applyNumberFormat="1" applyFont="1" applyBorder="1" applyAlignment="1">
      <alignment horizontal="left" wrapText="1"/>
    </xf>
    <xf numFmtId="5" fontId="55" fillId="0" borderId="7" xfId="22" applyNumberFormat="1" applyFont="1" applyBorder="1" applyAlignment="1">
      <alignment horizontal="right" vertical="center"/>
    </xf>
    <xf numFmtId="0" fontId="55" fillId="0" borderId="7" xfId="22" applyFont="1" applyBorder="1" applyAlignment="1">
      <alignment horizontal="center" vertical="center" wrapText="1"/>
    </xf>
    <xf numFmtId="42" fontId="61" fillId="0" borderId="18" xfId="22" applyNumberFormat="1" applyFont="1" applyBorder="1" applyAlignment="1">
      <alignment horizontal="left" vertical="top" wrapText="1"/>
    </xf>
    <xf numFmtId="0" fontId="65" fillId="0" borderId="21" xfId="22" applyFont="1" applyBorder="1" applyAlignment="1">
      <alignment horizontal="center" vertical="top" wrapText="1"/>
    </xf>
    <xf numFmtId="42" fontId="64" fillId="0" borderId="22" xfId="22" applyNumberFormat="1" applyFont="1" applyBorder="1" applyAlignment="1">
      <alignment horizontal="left" vertical="top" wrapText="1"/>
    </xf>
    <xf numFmtId="5" fontId="55" fillId="13" borderId="0" xfId="22" applyNumberFormat="1" applyFont="1" applyFill="1" applyAlignment="1">
      <alignment horizontal="right"/>
    </xf>
    <xf numFmtId="1" fontId="54" fillId="0" borderId="0" xfId="22" applyNumberFormat="1" applyFont="1"/>
    <xf numFmtId="6" fontId="55" fillId="13" borderId="0" xfId="15" applyNumberFormat="1" applyFont="1" applyFill="1"/>
    <xf numFmtId="42" fontId="55" fillId="0" borderId="19" xfId="22" applyNumberFormat="1" applyFont="1" applyBorder="1" applyAlignment="1">
      <alignment wrapText="1"/>
    </xf>
    <xf numFmtId="6" fontId="65" fillId="13" borderId="0" xfId="15" applyNumberFormat="1" applyFont="1" applyFill="1"/>
    <xf numFmtId="0" fontId="55" fillId="13" borderId="0" xfId="22" applyFont="1" applyFill="1" applyAlignment="1">
      <alignment horizontal="center"/>
    </xf>
    <xf numFmtId="42" fontId="55" fillId="13" borderId="19" xfId="22" applyNumberFormat="1" applyFont="1" applyFill="1" applyBorder="1" applyAlignment="1">
      <alignment wrapText="1"/>
    </xf>
    <xf numFmtId="42" fontId="58" fillId="14" borderId="19" xfId="22" applyNumberFormat="1" applyFont="1" applyFill="1" applyBorder="1" applyAlignment="1">
      <alignment horizontal="right"/>
    </xf>
    <xf numFmtId="42" fontId="56" fillId="0" borderId="19" xfId="22" applyNumberFormat="1" applyFont="1" applyBorder="1"/>
    <xf numFmtId="42" fontId="58" fillId="14" borderId="26" xfId="22" applyNumberFormat="1" applyFont="1" applyFill="1" applyBorder="1" applyAlignment="1">
      <alignment horizontal="right"/>
    </xf>
    <xf numFmtId="43" fontId="55" fillId="0" borderId="0" xfId="12" applyFont="1" applyFill="1" applyAlignment="1" applyProtection="1">
      <alignment horizontal="right"/>
    </xf>
    <xf numFmtId="0" fontId="57" fillId="0" borderId="12" xfId="22" applyFont="1" applyBorder="1" applyAlignment="1">
      <alignment wrapText="1"/>
    </xf>
    <xf numFmtId="0" fontId="67" fillId="0" borderId="12" xfId="15" applyFont="1" applyBorder="1" applyAlignment="1">
      <alignment horizontal="left" vertical="center" wrapText="1"/>
    </xf>
    <xf numFmtId="5" fontId="55" fillId="7" borderId="17" xfId="22" applyNumberFormat="1" applyFont="1" applyFill="1" applyBorder="1" applyAlignment="1">
      <alignment horizontal="right"/>
    </xf>
    <xf numFmtId="5" fontId="55" fillId="7" borderId="7" xfId="22" applyNumberFormat="1" applyFont="1" applyFill="1" applyBorder="1" applyAlignment="1">
      <alignment horizontal="right"/>
    </xf>
    <xf numFmtId="0" fontId="55" fillId="7" borderId="7" xfId="22" applyFont="1" applyFill="1" applyBorder="1"/>
    <xf numFmtId="164" fontId="55" fillId="0" borderId="12" xfId="24" applyNumberFormat="1" applyFont="1" applyFill="1" applyBorder="1" applyAlignment="1" applyProtection="1">
      <alignment horizontal="right"/>
    </xf>
    <xf numFmtId="0" fontId="61" fillId="0" borderId="12" xfId="15" applyFont="1" applyBorder="1" applyAlignment="1">
      <alignment horizontal="right" wrapText="1"/>
    </xf>
    <xf numFmtId="5" fontId="58" fillId="14" borderId="12" xfId="22" applyNumberFormat="1" applyFont="1" applyFill="1" applyBorder="1" applyAlignment="1">
      <alignment horizontal="right"/>
    </xf>
    <xf numFmtId="43" fontId="54" fillId="0" borderId="0" xfId="12" applyFont="1" applyBorder="1" applyAlignment="1" applyProtection="1">
      <alignment horizontal="right"/>
    </xf>
    <xf numFmtId="43" fontId="54" fillId="0" borderId="0" xfId="12" applyFont="1" applyBorder="1" applyAlignment="1" applyProtection="1"/>
    <xf numFmtId="43" fontId="55" fillId="0" borderId="0" xfId="12" applyFont="1" applyFill="1" applyBorder="1" applyProtection="1"/>
    <xf numFmtId="5" fontId="56" fillId="7" borderId="7" xfId="22" applyNumberFormat="1" applyFont="1" applyFill="1" applyBorder="1" applyAlignment="1">
      <alignment horizontal="right"/>
    </xf>
    <xf numFmtId="1" fontId="78" fillId="14" borderId="12" xfId="24" applyNumberFormat="1" applyFont="1" applyFill="1" applyBorder="1" applyAlignment="1" applyProtection="1">
      <alignment horizontal="right" vertical="top"/>
    </xf>
    <xf numFmtId="0" fontId="82" fillId="0" borderId="12" xfId="22" applyFont="1" applyBorder="1" applyAlignment="1">
      <alignment wrapText="1"/>
    </xf>
    <xf numFmtId="0" fontId="61" fillId="0" borderId="12" xfId="22" applyFont="1" applyBorder="1" applyAlignment="1">
      <alignment horizontal="center" vertical="top" wrapText="1"/>
    </xf>
    <xf numFmtId="0" fontId="61" fillId="0" borderId="12" xfId="22" applyFont="1" applyBorder="1" applyAlignment="1">
      <alignment horizontal="center" vertical="top"/>
    </xf>
    <xf numFmtId="1" fontId="55" fillId="0" borderId="12" xfId="22" applyNumberFormat="1" applyFont="1" applyBorder="1" applyAlignment="1">
      <alignment horizontal="center"/>
    </xf>
    <xf numFmtId="5" fontId="55" fillId="3" borderId="12" xfId="22" applyNumberFormat="1" applyFont="1" applyFill="1" applyBorder="1" applyAlignment="1">
      <alignment horizontal="right"/>
    </xf>
    <xf numFmtId="165" fontId="55" fillId="0" borderId="12" xfId="22" applyNumberFormat="1" applyFont="1" applyBorder="1" applyAlignment="1">
      <alignment horizontal="right"/>
    </xf>
    <xf numFmtId="0" fontId="81" fillId="0" borderId="12" xfId="22" applyFont="1" applyBorder="1" applyAlignment="1">
      <alignment wrapText="1"/>
    </xf>
    <xf numFmtId="0" fontId="67" fillId="0" borderId="12" xfId="22" applyFont="1" applyBorder="1"/>
    <xf numFmtId="164" fontId="61" fillId="0" borderId="12" xfId="22" applyNumberFormat="1" applyFont="1" applyBorder="1" applyAlignment="1">
      <alignment horizontal="center" wrapText="1"/>
    </xf>
    <xf numFmtId="164" fontId="55" fillId="0" borderId="12" xfId="22" applyNumberFormat="1" applyFont="1" applyBorder="1" applyAlignment="1">
      <alignment horizontal="right"/>
    </xf>
    <xf numFmtId="164" fontId="55" fillId="0" borderId="0" xfId="22" applyNumberFormat="1" applyFont="1"/>
    <xf numFmtId="164" fontId="54" fillId="0" borderId="0" xfId="22" applyNumberFormat="1" applyFont="1"/>
    <xf numFmtId="164" fontId="54" fillId="0" borderId="0" xfId="22" applyNumberFormat="1" applyFont="1" applyAlignment="1">
      <alignment horizontal="center"/>
    </xf>
    <xf numFmtId="164" fontId="54" fillId="7" borderId="12" xfId="1" applyNumberFormat="1" applyFont="1" applyFill="1" applyBorder="1" applyAlignment="1" applyProtection="1"/>
    <xf numFmtId="0" fontId="57" fillId="7" borderId="20" xfId="22" applyFont="1" applyFill="1" applyBorder="1"/>
    <xf numFmtId="0" fontId="56" fillId="7" borderId="20" xfId="22" applyFont="1" applyFill="1" applyBorder="1" applyAlignment="1">
      <alignment wrapText="1"/>
    </xf>
    <xf numFmtId="164" fontId="55" fillId="0" borderId="12" xfId="22" applyNumberFormat="1" applyFont="1" applyBorder="1" applyAlignment="1">
      <alignment horizontal="right" wrapText="1"/>
    </xf>
    <xf numFmtId="0" fontId="71" fillId="7" borderId="12" xfId="22" applyFont="1" applyFill="1" applyBorder="1"/>
    <xf numFmtId="0" fontId="55" fillId="0" borderId="12" xfId="5" applyFont="1" applyBorder="1" applyAlignment="1" applyProtection="1">
      <alignment wrapText="1"/>
      <protection locked="0"/>
    </xf>
    <xf numFmtId="5" fontId="55" fillId="0" borderId="12" xfId="5" applyNumberFormat="1" applyFont="1" applyBorder="1" applyAlignment="1" applyProtection="1">
      <alignment horizontal="right"/>
      <protection locked="0"/>
    </xf>
    <xf numFmtId="1" fontId="55" fillId="0" borderId="12" xfId="5" applyNumberFormat="1" applyFont="1" applyBorder="1" applyAlignment="1" applyProtection="1">
      <alignment horizontal="center"/>
      <protection locked="0"/>
    </xf>
    <xf numFmtId="5" fontId="55" fillId="3" borderId="12" xfId="5" applyNumberFormat="1" applyFont="1" applyFill="1" applyBorder="1" applyAlignment="1" applyProtection="1">
      <alignment horizontal="right"/>
      <protection locked="0"/>
    </xf>
    <xf numFmtId="0" fontId="55" fillId="0" borderId="12" xfId="5" applyFont="1" applyBorder="1" applyAlignment="1" applyProtection="1">
      <alignment horizontal="center"/>
      <protection locked="0"/>
    </xf>
    <xf numFmtId="0" fontId="55" fillId="0" borderId="12" xfId="5" applyFont="1" applyBorder="1" applyAlignment="1" applyProtection="1">
      <alignment vertical="top" wrapText="1"/>
      <protection locked="0"/>
    </xf>
    <xf numFmtId="1" fontId="55" fillId="0" borderId="12" xfId="5" applyNumberFormat="1" applyFont="1" applyBorder="1" applyAlignment="1" applyProtection="1">
      <alignment horizontal="center" wrapText="1"/>
      <protection locked="0"/>
    </xf>
    <xf numFmtId="7" fontId="55" fillId="0" borderId="12" xfId="5" applyNumberFormat="1" applyFont="1" applyBorder="1" applyAlignment="1" applyProtection="1">
      <alignment horizontal="right"/>
      <protection locked="0"/>
    </xf>
    <xf numFmtId="165" fontId="55" fillId="0" borderId="12" xfId="5" applyNumberFormat="1" applyFont="1" applyBorder="1" applyAlignment="1" applyProtection="1">
      <alignment horizontal="right"/>
      <protection locked="0"/>
    </xf>
    <xf numFmtId="0" fontId="55" fillId="0" borderId="12" xfId="22" applyFont="1" applyBorder="1" applyAlignment="1">
      <alignment vertical="top" wrapText="1"/>
    </xf>
    <xf numFmtId="0" fontId="55" fillId="0" borderId="12" xfId="22" applyFont="1" applyBorder="1" applyAlignment="1">
      <alignment wrapText="1"/>
    </xf>
    <xf numFmtId="0" fontId="55" fillId="0" borderId="12" xfId="5" applyFont="1" applyBorder="1" applyAlignment="1" applyProtection="1">
      <alignment horizontal="left" wrapText="1"/>
      <protection locked="0"/>
    </xf>
    <xf numFmtId="0" fontId="18" fillId="0" borderId="0" xfId="4" applyFont="1" applyFill="1" applyBorder="1" applyAlignment="1" applyProtection="1">
      <alignment horizontal="left" wrapText="1"/>
      <protection locked="0"/>
    </xf>
    <xf numFmtId="0" fontId="86" fillId="0" borderId="12" xfId="0" applyFont="1" applyBorder="1" applyAlignment="1">
      <alignment vertical="top"/>
    </xf>
    <xf numFmtId="0" fontId="57" fillId="0" borderId="12" xfId="0" applyFont="1" applyBorder="1" applyAlignment="1">
      <alignment horizontal="left" vertical="top"/>
    </xf>
    <xf numFmtId="43" fontId="71" fillId="0" borderId="0" xfId="12" applyFont="1" applyBorder="1" applyAlignment="1" applyProtection="1"/>
    <xf numFmtId="44" fontId="54" fillId="0" borderId="0" xfId="1" applyFont="1" applyBorder="1"/>
    <xf numFmtId="44" fontId="54" fillId="0" borderId="0" xfId="22" applyNumberFormat="1" applyFont="1"/>
    <xf numFmtId="43" fontId="54" fillId="0" borderId="0" xfId="22" applyNumberFormat="1" applyFont="1" applyAlignment="1">
      <alignment horizontal="right"/>
    </xf>
    <xf numFmtId="43" fontId="54" fillId="0" borderId="0" xfId="12" applyFont="1" applyBorder="1" applyProtection="1"/>
    <xf numFmtId="43" fontId="54" fillId="0" borderId="0" xfId="12" applyFont="1" applyBorder="1"/>
    <xf numFmtId="164" fontId="56" fillId="7" borderId="22" xfId="22" applyNumberFormat="1" applyFont="1" applyFill="1" applyBorder="1" applyAlignment="1">
      <alignment horizontal="right"/>
    </xf>
    <xf numFmtId="164" fontId="55" fillId="0" borderId="19" xfId="22" applyNumberFormat="1" applyFont="1" applyBorder="1" applyAlignment="1">
      <alignment vertical="top"/>
    </xf>
    <xf numFmtId="5" fontId="58" fillId="14" borderId="19" xfId="1" applyNumberFormat="1" applyFont="1" applyFill="1" applyBorder="1" applyAlignment="1" applyProtection="1">
      <alignment horizontal="right"/>
    </xf>
    <xf numFmtId="164" fontId="56" fillId="7" borderId="22" xfId="22" applyNumberFormat="1" applyFont="1" applyFill="1" applyBorder="1"/>
    <xf numFmtId="164" fontId="55" fillId="0" borderId="19" xfId="22" applyNumberFormat="1" applyFont="1" applyBorder="1"/>
    <xf numFmtId="164" fontId="55" fillId="7" borderId="18" xfId="22" applyNumberFormat="1" applyFont="1" applyFill="1" applyBorder="1"/>
    <xf numFmtId="164" fontId="56" fillId="7" borderId="18" xfId="22" applyNumberFormat="1" applyFont="1" applyFill="1" applyBorder="1" applyAlignment="1">
      <alignment horizontal="right" wrapText="1"/>
    </xf>
    <xf numFmtId="164" fontId="55" fillId="0" borderId="19" xfId="22" applyNumberFormat="1" applyFont="1" applyBorder="1" applyAlignment="1">
      <alignment wrapText="1"/>
    </xf>
    <xf numFmtId="164" fontId="54" fillId="0" borderId="19" xfId="22" applyNumberFormat="1" applyFont="1" applyBorder="1"/>
    <xf numFmtId="164" fontId="58" fillId="14" borderId="19" xfId="12" applyNumberFormat="1" applyFont="1" applyFill="1" applyBorder="1" applyAlignment="1" applyProtection="1">
      <alignment horizontal="right"/>
    </xf>
    <xf numFmtId="164" fontId="55" fillId="0" borderId="26" xfId="15" applyNumberFormat="1" applyFont="1" applyBorder="1" applyAlignment="1">
      <alignment horizontal="center" wrapText="1"/>
    </xf>
    <xf numFmtId="169" fontId="56" fillId="0" borderId="19" xfId="14" applyNumberFormat="1" applyFont="1" applyFill="1" applyBorder="1" applyAlignment="1" applyProtection="1"/>
    <xf numFmtId="164" fontId="59" fillId="14" borderId="18" xfId="22" applyNumberFormat="1" applyFont="1" applyFill="1" applyBorder="1" applyAlignment="1">
      <alignment wrapText="1"/>
    </xf>
    <xf numFmtId="0" fontId="55" fillId="0" borderId="13" xfId="15" applyFont="1" applyBorder="1" applyAlignment="1">
      <alignment vertical="center" wrapText="1"/>
    </xf>
    <xf numFmtId="164" fontId="59" fillId="14" borderId="26" xfId="22" applyNumberFormat="1" applyFont="1" applyFill="1" applyBorder="1" applyAlignment="1">
      <alignment wrapText="1"/>
    </xf>
    <xf numFmtId="164" fontId="59" fillId="14" borderId="19" xfId="22" applyNumberFormat="1" applyFont="1" applyFill="1" applyBorder="1" applyAlignment="1">
      <alignment wrapText="1"/>
    </xf>
    <xf numFmtId="164" fontId="54" fillId="0" borderId="12" xfId="1" applyNumberFormat="1" applyFont="1" applyFill="1" applyBorder="1" applyAlignment="1" applyProtection="1"/>
    <xf numFmtId="42" fontId="13" fillId="3" borderId="3" xfId="0" applyNumberFormat="1" applyFont="1" applyFill="1" applyBorder="1" applyAlignment="1">
      <alignment horizontal="center" vertical="top" wrapText="1"/>
    </xf>
    <xf numFmtId="0" fontId="56" fillId="0" borderId="0" xfId="22" applyFont="1" applyAlignment="1">
      <alignment horizontal="right"/>
    </xf>
    <xf numFmtId="42" fontId="13" fillId="3" borderId="3" xfId="0" applyNumberFormat="1" applyFont="1" applyFill="1" applyBorder="1" applyAlignment="1">
      <alignment horizontal="right" vertical="top" wrapText="1"/>
    </xf>
    <xf numFmtId="0" fontId="49" fillId="14" borderId="0" xfId="5" applyFont="1" applyFill="1" applyAlignment="1">
      <alignment horizontal="right" wrapText="1"/>
    </xf>
    <xf numFmtId="0" fontId="33" fillId="0" borderId="15" xfId="5" applyFont="1" applyBorder="1" applyAlignment="1">
      <alignment horizontal="left" vertical="top" wrapText="1"/>
    </xf>
    <xf numFmtId="0" fontId="19" fillId="0" borderId="17" xfId="5" applyFont="1" applyBorder="1" applyAlignment="1">
      <alignment horizontal="left" vertical="top" wrapText="1"/>
    </xf>
    <xf numFmtId="0" fontId="19" fillId="0" borderId="7" xfId="5" applyFont="1" applyBorder="1" applyAlignment="1">
      <alignment horizontal="left" vertical="top" wrapText="1"/>
    </xf>
    <xf numFmtId="0" fontId="19" fillId="0" borderId="18" xfId="5" applyFont="1" applyBorder="1" applyAlignment="1">
      <alignment horizontal="left" vertical="top" wrapText="1"/>
    </xf>
    <xf numFmtId="0" fontId="19" fillId="0" borderId="23" xfId="5" applyFont="1" applyBorder="1" applyAlignment="1">
      <alignment horizontal="right" wrapText="1"/>
    </xf>
    <xf numFmtId="0" fontId="19" fillId="0" borderId="0" xfId="5" applyFont="1" applyAlignment="1">
      <alignment horizontal="right" wrapText="1"/>
    </xf>
    <xf numFmtId="5" fontId="27" fillId="9" borderId="21" xfId="5" applyNumberFormat="1" applyFont="1" applyFill="1" applyBorder="1" applyAlignment="1">
      <alignment horizontal="right"/>
    </xf>
    <xf numFmtId="0" fontId="19" fillId="0" borderId="23" xfId="5" applyFont="1" applyBorder="1" applyAlignment="1">
      <alignment horizontal="left" vertical="top" wrapText="1"/>
    </xf>
    <xf numFmtId="0" fontId="19" fillId="0" borderId="0" xfId="5" applyFont="1" applyAlignment="1">
      <alignment horizontal="left" vertical="top" wrapText="1"/>
    </xf>
    <xf numFmtId="0" fontId="19" fillId="0" borderId="19" xfId="5" applyFont="1" applyBorder="1" applyAlignment="1">
      <alignment horizontal="left" vertical="top" wrapText="1"/>
    </xf>
    <xf numFmtId="0" fontId="44" fillId="0" borderId="0" xfId="5" applyFont="1" applyAlignment="1">
      <alignment horizontal="left" vertical="top" wrapText="1"/>
    </xf>
    <xf numFmtId="0" fontId="44" fillId="0" borderId="19" xfId="5" applyFont="1" applyBorder="1" applyAlignment="1">
      <alignment horizontal="left" vertical="top" wrapText="1"/>
    </xf>
    <xf numFmtId="0" fontId="29" fillId="0" borderId="23" xfId="5" applyFont="1" applyBorder="1" applyAlignment="1">
      <alignment horizontal="left" vertical="top" wrapText="1"/>
    </xf>
    <xf numFmtId="0" fontId="29" fillId="0" borderId="0" xfId="5" applyFont="1" applyAlignment="1">
      <alignment horizontal="left" vertical="top" wrapText="1"/>
    </xf>
    <xf numFmtId="0" fontId="30" fillId="0" borderId="23" xfId="5" applyFont="1" applyBorder="1" applyAlignment="1">
      <alignment horizontal="left" vertical="top" wrapText="1"/>
    </xf>
    <xf numFmtId="0" fontId="30" fillId="0" borderId="0" xfId="5" applyFont="1" applyAlignment="1">
      <alignment horizontal="left" vertical="top" wrapText="1"/>
    </xf>
    <xf numFmtId="0" fontId="19" fillId="7" borderId="21" xfId="5" applyFont="1" applyFill="1" applyBorder="1" applyAlignment="1">
      <alignment vertical="top" wrapText="1"/>
    </xf>
    <xf numFmtId="171" fontId="27" fillId="9" borderId="21" xfId="5" applyNumberFormat="1" applyFont="1" applyFill="1" applyBorder="1" applyAlignment="1">
      <alignment horizontal="right" wrapText="1"/>
    </xf>
    <xf numFmtId="5" fontId="27" fillId="7" borderId="21" xfId="5" applyNumberFormat="1" applyFont="1" applyFill="1" applyBorder="1" applyAlignment="1">
      <alignment horizontal="right"/>
    </xf>
    <xf numFmtId="0" fontId="19" fillId="0" borderId="23" xfId="5" applyFont="1" applyBorder="1" applyAlignment="1">
      <alignment horizontal="right" vertical="top" wrapText="1"/>
    </xf>
    <xf numFmtId="0" fontId="19" fillId="0" borderId="0" xfId="5" applyFont="1" applyAlignment="1">
      <alignment horizontal="right" vertical="top" wrapText="1"/>
    </xf>
    <xf numFmtId="0" fontId="19" fillId="0" borderId="23" xfId="5" applyFont="1" applyBorder="1" applyAlignment="1">
      <alignment horizontal="right"/>
    </xf>
    <xf numFmtId="0" fontId="19" fillId="0" borderId="0" xfId="5" applyFont="1" applyAlignment="1">
      <alignment horizontal="right"/>
    </xf>
    <xf numFmtId="0" fontId="44" fillId="0" borderId="0" xfId="5" applyFont="1" applyAlignment="1">
      <alignment horizontal="left" vertical="center" wrapText="1"/>
    </xf>
    <xf numFmtId="0" fontId="44" fillId="0" borderId="19" xfId="5" applyFont="1" applyBorder="1" applyAlignment="1">
      <alignment horizontal="left" vertical="center" wrapText="1"/>
    </xf>
    <xf numFmtId="0" fontId="44" fillId="0" borderId="0" xfId="5" applyFont="1" applyAlignment="1">
      <alignment horizontal="left" wrapText="1"/>
    </xf>
    <xf numFmtId="0" fontId="44" fillId="0" borderId="19" xfId="5" applyFont="1" applyBorder="1" applyAlignment="1">
      <alignment horizontal="left" wrapText="1"/>
    </xf>
    <xf numFmtId="0" fontId="44" fillId="0" borderId="23" xfId="0" applyFont="1" applyBorder="1" applyAlignment="1">
      <alignment horizontal="left" vertical="top" wrapText="1"/>
    </xf>
    <xf numFmtId="0" fontId="44" fillId="0" borderId="0" xfId="0" applyFont="1" applyAlignment="1">
      <alignment horizontal="left" vertical="top" wrapText="1"/>
    </xf>
    <xf numFmtId="0" fontId="44" fillId="0" borderId="19" xfId="0" applyFont="1" applyBorder="1" applyAlignment="1">
      <alignment horizontal="left" vertical="top" wrapText="1"/>
    </xf>
    <xf numFmtId="0" fontId="27" fillId="11" borderId="0" xfId="5" applyFont="1" applyFill="1" applyAlignment="1">
      <alignment horizontal="center" vertical="center" wrapText="1"/>
    </xf>
    <xf numFmtId="0" fontId="27" fillId="11" borderId="19" xfId="5" applyFont="1" applyFill="1" applyBorder="1" applyAlignment="1">
      <alignment horizontal="center" vertical="center" wrapText="1"/>
    </xf>
    <xf numFmtId="0" fontId="30" fillId="14" borderId="15" xfId="5" applyFont="1" applyFill="1" applyBorder="1" applyAlignment="1">
      <alignment horizontal="center" vertical="top" wrapText="1"/>
    </xf>
    <xf numFmtId="0" fontId="30" fillId="0" borderId="23" xfId="5" applyFont="1" applyBorder="1" applyAlignment="1">
      <alignment wrapText="1"/>
    </xf>
    <xf numFmtId="0" fontId="19" fillId="0" borderId="0" xfId="7" applyFont="1" applyAlignment="1">
      <alignment wrapText="1"/>
    </xf>
    <xf numFmtId="0" fontId="30" fillId="7" borderId="21" xfId="5" applyFont="1" applyFill="1" applyBorder="1" applyAlignment="1">
      <alignment horizontal="center" wrapText="1"/>
    </xf>
    <xf numFmtId="0" fontId="19" fillId="11" borderId="23" xfId="6" applyFont="1" applyFill="1" applyBorder="1" applyAlignment="1">
      <alignment horizontal="left"/>
    </xf>
    <xf numFmtId="0" fontId="19" fillId="11" borderId="0" xfId="6" applyFont="1" applyFill="1" applyAlignment="1">
      <alignment horizontal="left"/>
    </xf>
    <xf numFmtId="0" fontId="19" fillId="11" borderId="23" xfId="6" applyFont="1" applyFill="1" applyBorder="1" applyAlignment="1">
      <alignment horizontal="left" wrapText="1"/>
    </xf>
    <xf numFmtId="0" fontId="19" fillId="11" borderId="0" xfId="6" applyFont="1" applyFill="1" applyAlignment="1">
      <alignment horizontal="left" wrapText="1"/>
    </xf>
    <xf numFmtId="0" fontId="33" fillId="0" borderId="0" xfId="5" applyFont="1" applyAlignment="1">
      <alignment horizontal="left" vertical="top" wrapText="1"/>
    </xf>
    <xf numFmtId="0" fontId="33" fillId="0" borderId="19" xfId="5" applyFont="1" applyBorder="1" applyAlignment="1">
      <alignment horizontal="left" vertical="top" wrapText="1"/>
    </xf>
    <xf numFmtId="0" fontId="33" fillId="0" borderId="0" xfId="5" applyFont="1" applyAlignment="1">
      <alignment horizontal="left"/>
    </xf>
    <xf numFmtId="0" fontId="33" fillId="0" borderId="19" xfId="5" applyFont="1" applyBorder="1" applyAlignment="1">
      <alignment horizontal="left"/>
    </xf>
    <xf numFmtId="0" fontId="33" fillId="0" borderId="0" xfId="5" applyFont="1" applyAlignment="1">
      <alignment horizontal="left" vertical="center" wrapText="1"/>
    </xf>
    <xf numFmtId="0" fontId="33" fillId="0" borderId="19" xfId="5" applyFont="1" applyBorder="1" applyAlignment="1">
      <alignment horizontal="left" vertical="center" wrapText="1"/>
    </xf>
    <xf numFmtId="0" fontId="44" fillId="0" borderId="0" xfId="5" applyFont="1" applyAlignment="1">
      <alignment horizontal="left"/>
    </xf>
    <xf numFmtId="0" fontId="44" fillId="0" borderId="19" xfId="5" applyFont="1" applyBorder="1" applyAlignment="1">
      <alignment horizontal="left"/>
    </xf>
    <xf numFmtId="0" fontId="48" fillId="11" borderId="0" xfId="5" applyFont="1" applyFill="1" applyAlignment="1">
      <alignment horizontal="left" vertical="top" wrapText="1"/>
    </xf>
    <xf numFmtId="0" fontId="48" fillId="11" borderId="19" xfId="5" applyFont="1" applyFill="1" applyBorder="1" applyAlignment="1">
      <alignment horizontal="left" vertical="top" wrapText="1"/>
    </xf>
    <xf numFmtId="0" fontId="30" fillId="9" borderId="21" xfId="0" applyFont="1" applyFill="1" applyBorder="1" applyAlignment="1">
      <alignment horizontal="left" vertical="center" wrapText="1"/>
    </xf>
    <xf numFmtId="0" fontId="26" fillId="9" borderId="21" xfId="5" applyFont="1" applyFill="1" applyBorder="1" applyAlignment="1">
      <alignment horizontal="left" wrapText="1"/>
    </xf>
    <xf numFmtId="0" fontId="19" fillId="9" borderId="21" xfId="0" applyFont="1" applyFill="1" applyBorder="1" applyAlignment="1">
      <alignment horizontal="left" vertical="center" wrapText="1"/>
    </xf>
    <xf numFmtId="0" fontId="19" fillId="0" borderId="23" xfId="5" applyFont="1" applyBorder="1" applyAlignment="1">
      <alignment horizontal="left" vertical="top"/>
    </xf>
    <xf numFmtId="0" fontId="19" fillId="0" borderId="0" xfId="5" applyFont="1" applyAlignment="1">
      <alignment horizontal="left" vertical="top"/>
    </xf>
    <xf numFmtId="0" fontId="19" fillId="11" borderId="23" xfId="5" applyFont="1" applyFill="1" applyBorder="1" applyAlignment="1">
      <alignment horizontal="left" vertical="top" wrapText="1"/>
    </xf>
    <xf numFmtId="0" fontId="19" fillId="11" borderId="0" xfId="5" applyFont="1" applyFill="1" applyAlignment="1">
      <alignment horizontal="left" vertical="top" wrapText="1"/>
    </xf>
    <xf numFmtId="0" fontId="19" fillId="11" borderId="19" xfId="5" applyFont="1" applyFill="1" applyBorder="1" applyAlignment="1">
      <alignment horizontal="left" vertical="top" wrapText="1"/>
    </xf>
    <xf numFmtId="0" fontId="46" fillId="0" borderId="23" xfId="0" applyFont="1" applyBorder="1" applyAlignment="1">
      <alignment horizontal="left" vertical="top" wrapText="1"/>
    </xf>
    <xf numFmtId="0" fontId="46" fillId="0" borderId="0" xfId="0" applyFont="1" applyAlignment="1">
      <alignment horizontal="left" vertical="top" wrapText="1"/>
    </xf>
    <xf numFmtId="0" fontId="46" fillId="0" borderId="19" xfId="0" applyFont="1" applyBorder="1" applyAlignment="1">
      <alignment horizontal="left" vertical="top" wrapText="1"/>
    </xf>
    <xf numFmtId="0" fontId="19" fillId="0" borderId="21" xfId="5" applyFont="1" applyBorder="1" applyAlignment="1">
      <alignment horizontal="center"/>
    </xf>
    <xf numFmtId="0" fontId="29" fillId="0" borderId="25" xfId="5" applyFont="1" applyBorder="1" applyAlignment="1">
      <alignment horizontal="left" vertical="top" wrapText="1"/>
    </xf>
    <xf numFmtId="0" fontId="29" fillId="0" borderId="15" xfId="5" applyFont="1" applyBorder="1" applyAlignment="1">
      <alignment horizontal="left" vertical="top" wrapText="1"/>
    </xf>
    <xf numFmtId="0" fontId="29" fillId="0" borderId="26" xfId="5" applyFont="1" applyBorder="1" applyAlignment="1">
      <alignment horizontal="left" vertical="top" wrapText="1"/>
    </xf>
    <xf numFmtId="0" fontId="44" fillId="0" borderId="25" xfId="0" applyFont="1" applyBorder="1" applyAlignment="1">
      <alignment horizontal="left" vertical="top" wrapText="1"/>
    </xf>
    <xf numFmtId="0" fontId="44" fillId="0" borderId="15" xfId="0" applyFont="1" applyBorder="1" applyAlignment="1">
      <alignment horizontal="left" vertical="top" wrapText="1"/>
    </xf>
    <xf numFmtId="0" fontId="44" fillId="0" borderId="26" xfId="0" applyFont="1" applyBorder="1" applyAlignment="1">
      <alignment horizontal="left" vertical="top" wrapText="1"/>
    </xf>
    <xf numFmtId="0" fontId="44" fillId="0" borderId="0" xfId="5" applyFont="1" applyAlignment="1">
      <alignment horizontal="left" vertical="center"/>
    </xf>
    <xf numFmtId="0" fontId="44" fillId="0" borderId="19" xfId="5" applyFont="1" applyBorder="1" applyAlignment="1">
      <alignment horizontal="left" vertical="center"/>
    </xf>
    <xf numFmtId="0" fontId="19" fillId="0" borderId="25" xfId="5" applyFont="1" applyBorder="1" applyAlignment="1">
      <alignment horizontal="left" vertical="top" wrapText="1"/>
    </xf>
    <xf numFmtId="0" fontId="19" fillId="0" borderId="15" xfId="5" applyFont="1" applyBorder="1" applyAlignment="1">
      <alignment horizontal="left" vertical="top" wrapText="1"/>
    </xf>
    <xf numFmtId="0" fontId="19" fillId="0" borderId="20" xfId="5" applyFont="1" applyBorder="1" applyAlignment="1">
      <alignment horizontal="left" wrapText="1"/>
    </xf>
    <xf numFmtId="0" fontId="19" fillId="0" borderId="21" xfId="5" applyFont="1" applyBorder="1" applyAlignment="1">
      <alignment horizontal="left" wrapText="1"/>
    </xf>
    <xf numFmtId="0" fontId="19" fillId="0" borderId="23" xfId="5" applyFont="1" applyBorder="1" applyAlignment="1">
      <alignment horizontal="left" wrapText="1"/>
    </xf>
    <xf numFmtId="0" fontId="19" fillId="0" borderId="0" xfId="5" applyFont="1" applyAlignment="1">
      <alignment horizontal="left" wrapText="1"/>
    </xf>
    <xf numFmtId="0" fontId="43" fillId="0" borderId="25" xfId="0" applyFont="1" applyBorder="1" applyAlignment="1">
      <alignment horizontal="left" vertical="top" wrapText="1"/>
    </xf>
    <xf numFmtId="0" fontId="33" fillId="0" borderId="23" xfId="0" applyFont="1" applyBorder="1" applyAlignment="1">
      <alignment horizontal="left" vertical="top" wrapText="1"/>
    </xf>
    <xf numFmtId="0" fontId="33" fillId="0" borderId="0" xfId="0" applyFont="1" applyAlignment="1">
      <alignment horizontal="left" vertical="top" wrapText="1"/>
    </xf>
    <xf numFmtId="0" fontId="33" fillId="0" borderId="19" xfId="0" applyFont="1" applyBorder="1" applyAlignment="1">
      <alignment horizontal="left" vertical="top" wrapText="1"/>
    </xf>
    <xf numFmtId="0" fontId="29" fillId="0" borderId="23" xfId="5" applyFont="1" applyBorder="1" applyAlignment="1">
      <alignment horizontal="left" vertical="top"/>
    </xf>
    <xf numFmtId="0" fontId="29" fillId="0" borderId="0" xfId="5" applyFont="1" applyAlignment="1">
      <alignment horizontal="left" vertical="top"/>
    </xf>
    <xf numFmtId="0" fontId="51" fillId="15" borderId="36" xfId="0" applyFont="1" applyFill="1" applyBorder="1" applyAlignment="1">
      <alignment horizontal="left" vertical="top" wrapText="1"/>
    </xf>
    <xf numFmtId="0" fontId="51" fillId="14" borderId="36" xfId="5" applyFont="1" applyFill="1" applyBorder="1" applyAlignment="1">
      <alignment horizontal="left" vertical="top" wrapText="1"/>
    </xf>
    <xf numFmtId="0" fontId="51" fillId="14" borderId="36" xfId="0" applyFont="1" applyFill="1" applyBorder="1" applyAlignment="1">
      <alignment horizontal="left" vertical="top" wrapText="1"/>
    </xf>
    <xf numFmtId="0" fontId="51" fillId="14" borderId="38" xfId="0" applyFont="1" applyFill="1" applyBorder="1" applyAlignment="1">
      <alignment horizontal="left" wrapText="1"/>
    </xf>
    <xf numFmtId="0" fontId="51" fillId="14" borderId="39" xfId="0" applyFont="1" applyFill="1" applyBorder="1" applyAlignment="1">
      <alignment horizontal="left" wrapText="1"/>
    </xf>
    <xf numFmtId="0" fontId="19" fillId="5" borderId="12" xfId="5" applyFont="1" applyFill="1" applyBorder="1" applyAlignment="1">
      <alignment horizontal="left" vertical="top" wrapText="1"/>
    </xf>
    <xf numFmtId="0" fontId="19" fillId="5" borderId="12" xfId="5" applyFont="1" applyFill="1" applyBorder="1" applyAlignment="1">
      <alignment horizontal="left" wrapText="1"/>
    </xf>
    <xf numFmtId="0" fontId="27" fillId="0" borderId="0" xfId="0" applyFont="1" applyAlignment="1">
      <alignment horizontal="center"/>
    </xf>
    <xf numFmtId="0" fontId="27" fillId="0" borderId="0" xfId="7" applyFont="1" applyAlignment="1">
      <alignment horizontal="center" wrapText="1"/>
    </xf>
    <xf numFmtId="0" fontId="27" fillId="0" borderId="0" xfId="5" applyFont="1" applyAlignment="1">
      <alignment horizontal="center"/>
    </xf>
    <xf numFmtId="0" fontId="51" fillId="15" borderId="28" xfId="0" applyFont="1" applyFill="1" applyBorder="1" applyAlignment="1">
      <alignment horizontal="left" vertical="top" wrapText="1"/>
    </xf>
    <xf numFmtId="0" fontId="51" fillId="15" borderId="27" xfId="0" applyFont="1" applyFill="1" applyBorder="1" applyAlignment="1">
      <alignment horizontal="left" vertical="top" wrapText="1"/>
    </xf>
    <xf numFmtId="0" fontId="51" fillId="14" borderId="12" xfId="0" applyFont="1" applyFill="1" applyBorder="1" applyAlignment="1">
      <alignment horizontal="left" vertical="top" wrapText="1"/>
    </xf>
    <xf numFmtId="0" fontId="49" fillId="14" borderId="0" xfId="5" applyFont="1" applyFill="1" applyAlignment="1">
      <alignment horizontal="right" vertical="top"/>
    </xf>
    <xf numFmtId="0" fontId="19" fillId="11" borderId="12" xfId="5" applyFont="1" applyFill="1" applyBorder="1" applyAlignment="1">
      <alignment horizontal="left" vertical="top" wrapText="1"/>
    </xf>
    <xf numFmtId="167" fontId="27" fillId="6" borderId="0" xfId="2" applyNumberFormat="1" applyFont="1" applyFill="1" applyBorder="1" applyAlignment="1" applyProtection="1">
      <alignment horizontal="right" vertical="top"/>
    </xf>
    <xf numFmtId="0" fontId="27" fillId="6" borderId="0" xfId="5" applyFont="1" applyFill="1" applyAlignment="1">
      <alignment horizontal="right" vertical="top"/>
    </xf>
    <xf numFmtId="167" fontId="27" fillId="8" borderId="0" xfId="2" applyNumberFormat="1" applyFont="1" applyFill="1" applyBorder="1" applyAlignment="1" applyProtection="1">
      <alignment horizontal="right" vertical="top"/>
    </xf>
    <xf numFmtId="0" fontId="32" fillId="0" borderId="0" xfId="5" applyFont="1" applyAlignment="1">
      <alignment horizontal="left" vertical="top" wrapText="1"/>
    </xf>
    <xf numFmtId="0" fontId="19" fillId="11" borderId="25" xfId="5" applyFont="1" applyFill="1" applyBorder="1" applyAlignment="1">
      <alignment horizontal="left" vertical="top" wrapText="1"/>
    </xf>
    <xf numFmtId="0" fontId="19" fillId="11" borderId="15" xfId="5" applyFont="1" applyFill="1" applyBorder="1" applyAlignment="1">
      <alignment horizontal="left" vertical="top" wrapText="1"/>
    </xf>
    <xf numFmtId="0" fontId="19" fillId="11" borderId="26" xfId="5" applyFont="1" applyFill="1" applyBorder="1" applyAlignment="1">
      <alignment horizontal="left" vertical="top" wrapText="1"/>
    </xf>
    <xf numFmtId="0" fontId="30" fillId="5" borderId="25" xfId="5" applyFont="1" applyFill="1" applyBorder="1" applyAlignment="1">
      <alignment horizontal="left" vertical="top" wrapText="1"/>
    </xf>
    <xf numFmtId="0" fontId="30" fillId="5" borderId="15" xfId="5" applyFont="1" applyFill="1" applyBorder="1" applyAlignment="1">
      <alignment horizontal="left" vertical="top" wrapText="1"/>
    </xf>
    <xf numFmtId="0" fontId="30" fillId="5" borderId="23" xfId="5" applyFont="1" applyFill="1" applyBorder="1" applyAlignment="1">
      <alignment wrapText="1"/>
    </xf>
    <xf numFmtId="0" fontId="30" fillId="5" borderId="0" xfId="5" applyFont="1" applyFill="1" applyAlignment="1">
      <alignment wrapText="1"/>
    </xf>
    <xf numFmtId="0" fontId="27" fillId="0" borderId="0" xfId="5" applyFont="1" applyAlignment="1">
      <alignment horizontal="left"/>
    </xf>
    <xf numFmtId="0" fontId="27" fillId="0" borderId="19" xfId="5" applyFont="1" applyBorder="1" applyAlignment="1">
      <alignment horizontal="left"/>
    </xf>
    <xf numFmtId="0" fontId="44" fillId="0" borderId="23" xfId="5" applyFont="1" applyBorder="1" applyAlignment="1">
      <alignment horizontal="left" vertical="top" wrapText="1"/>
    </xf>
    <xf numFmtId="5" fontId="19" fillId="0" borderId="25" xfId="5" applyNumberFormat="1" applyFont="1" applyBorder="1" applyAlignment="1">
      <alignment horizontal="left" vertical="top" wrapText="1"/>
    </xf>
    <xf numFmtId="5" fontId="19" fillId="0" borderId="15" xfId="5" applyNumberFormat="1" applyFont="1" applyBorder="1" applyAlignment="1">
      <alignment horizontal="left" vertical="top"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9" fillId="5" borderId="25" xfId="5" applyFont="1" applyFill="1" applyBorder="1" applyAlignment="1">
      <alignment horizontal="left" vertical="top" wrapText="1"/>
    </xf>
    <xf numFmtId="0" fontId="19" fillId="5" borderId="15" xfId="5" applyFont="1" applyFill="1" applyBorder="1" applyAlignment="1">
      <alignment horizontal="left" vertical="top" wrapText="1"/>
    </xf>
    <xf numFmtId="0" fontId="19" fillId="5" borderId="26" xfId="5" applyFont="1" applyFill="1" applyBorder="1" applyAlignment="1">
      <alignment horizontal="left" vertical="top" wrapText="1"/>
    </xf>
    <xf numFmtId="5" fontId="19" fillId="0" borderId="21" xfId="5" applyNumberFormat="1" applyFont="1" applyBorder="1" applyAlignment="1">
      <alignment horizontal="center"/>
    </xf>
    <xf numFmtId="0" fontId="27" fillId="11" borderId="25" xfId="5" applyFont="1" applyFill="1" applyBorder="1" applyAlignment="1">
      <alignment horizontal="left" vertical="top" wrapText="1"/>
    </xf>
    <xf numFmtId="0" fontId="44" fillId="0" borderId="23" xfId="5" applyFont="1" applyBorder="1" applyAlignment="1" applyProtection="1">
      <alignment horizontal="left" vertical="top" wrapText="1"/>
      <protection locked="0"/>
    </xf>
    <xf numFmtId="0" fontId="44" fillId="0" borderId="0" xfId="5" applyFont="1" applyAlignment="1" applyProtection="1">
      <alignment horizontal="left" vertical="top" wrapText="1"/>
      <protection locked="0"/>
    </xf>
    <xf numFmtId="0" fontId="41" fillId="14" borderId="7" xfId="5" applyFont="1" applyFill="1" applyBorder="1" applyAlignment="1">
      <alignment horizontal="center" vertical="top" wrapText="1"/>
    </xf>
    <xf numFmtId="0" fontId="30" fillId="0" borderId="25" xfId="5" applyFont="1" applyBorder="1" applyAlignment="1">
      <alignment horizontal="left" vertical="top" wrapText="1"/>
    </xf>
    <xf numFmtId="0" fontId="30" fillId="0" borderId="15" xfId="5" applyFont="1" applyBorder="1" applyAlignment="1">
      <alignment horizontal="left" vertical="top" wrapText="1"/>
    </xf>
    <xf numFmtId="5" fontId="27" fillId="7" borderId="0" xfId="5" applyNumberFormat="1" applyFont="1" applyFill="1" applyAlignment="1">
      <alignment horizontal="right"/>
    </xf>
    <xf numFmtId="0" fontId="41" fillId="5" borderId="23" xfId="5" applyFont="1" applyFill="1" applyBorder="1" applyAlignment="1">
      <alignment wrapText="1"/>
    </xf>
    <xf numFmtId="0" fontId="19" fillId="5" borderId="0" xfId="0" applyFont="1" applyFill="1" applyAlignment="1">
      <alignment wrapText="1"/>
    </xf>
    <xf numFmtId="0" fontId="41" fillId="5" borderId="23" xfId="5" applyFont="1" applyFill="1" applyBorder="1" applyAlignment="1">
      <alignment horizontal="left" vertical="top" wrapText="1"/>
    </xf>
    <xf numFmtId="0" fontId="41" fillId="5" borderId="0" xfId="5" applyFont="1" applyFill="1" applyAlignment="1">
      <alignment horizontal="left" vertical="top" wrapText="1"/>
    </xf>
    <xf numFmtId="0" fontId="41" fillId="5" borderId="19" xfId="5" applyFont="1" applyFill="1" applyBorder="1" applyAlignment="1">
      <alignment horizontal="left" vertical="top" wrapText="1"/>
    </xf>
    <xf numFmtId="0" fontId="41" fillId="0" borderId="23" xfId="5" applyFont="1" applyBorder="1" applyAlignment="1">
      <alignment horizontal="left" vertical="top" wrapText="1"/>
    </xf>
    <xf numFmtId="0" fontId="30" fillId="11" borderId="23" xfId="5" applyFont="1" applyFill="1" applyBorder="1" applyAlignment="1">
      <alignment wrapText="1"/>
    </xf>
    <xf numFmtId="0" fontId="30" fillId="11" borderId="0" xfId="5" applyFont="1" applyFill="1" applyAlignment="1">
      <alignment wrapText="1"/>
    </xf>
    <xf numFmtId="0" fontId="30" fillId="7" borderId="20" xfId="5" applyFont="1" applyFill="1" applyBorder="1" applyAlignment="1">
      <alignment horizontal="left" wrapText="1"/>
    </xf>
    <xf numFmtId="0" fontId="30" fillId="7" borderId="21" xfId="5" applyFont="1" applyFill="1" applyBorder="1" applyAlignment="1">
      <alignment horizontal="left" wrapText="1"/>
    </xf>
    <xf numFmtId="0" fontId="30" fillId="0" borderId="0" xfId="5" applyFont="1" applyAlignment="1">
      <alignment horizontal="left" wrapText="1"/>
    </xf>
    <xf numFmtId="0" fontId="30" fillId="0" borderId="19" xfId="5" applyFont="1" applyBorder="1" applyAlignment="1">
      <alignment horizontal="left" wrapText="1"/>
    </xf>
    <xf numFmtId="0" fontId="30" fillId="0" borderId="19" xfId="5" applyFont="1" applyBorder="1" applyAlignment="1">
      <alignment horizontal="left" vertical="top" wrapText="1"/>
    </xf>
    <xf numFmtId="0" fontId="41" fillId="11" borderId="0" xfId="5" applyFont="1" applyFill="1" applyAlignment="1">
      <alignment horizontal="left" vertical="top" wrapText="1"/>
    </xf>
    <xf numFmtId="0" fontId="41" fillId="11" borderId="19" xfId="5" applyFont="1" applyFill="1" applyBorder="1" applyAlignment="1">
      <alignment horizontal="left" vertical="top" wrapText="1"/>
    </xf>
    <xf numFmtId="0" fontId="30" fillId="5" borderId="20" xfId="5" applyFont="1" applyFill="1" applyBorder="1" applyAlignment="1">
      <alignment horizontal="left" wrapText="1"/>
    </xf>
    <xf numFmtId="0" fontId="30" fillId="5" borderId="21" xfId="5" applyFont="1" applyFill="1" applyBorder="1" applyAlignment="1">
      <alignment horizontal="left" wrapText="1"/>
    </xf>
    <xf numFmtId="0" fontId="19" fillId="7" borderId="0" xfId="5" applyFont="1" applyFill="1" applyAlignment="1">
      <alignment wrapText="1"/>
    </xf>
    <xf numFmtId="0" fontId="41" fillId="5" borderId="0" xfId="5" applyFont="1" applyFill="1" applyAlignment="1">
      <alignment wrapText="1"/>
    </xf>
    <xf numFmtId="0" fontId="30" fillId="5" borderId="23" xfId="5" applyFont="1" applyFill="1" applyBorder="1" applyAlignment="1">
      <alignment horizontal="left" vertical="top" wrapText="1"/>
    </xf>
    <xf numFmtId="0" fontId="30" fillId="5" borderId="0" xfId="5" applyFont="1" applyFill="1" applyAlignment="1">
      <alignment horizontal="left" vertical="top" wrapText="1"/>
    </xf>
    <xf numFmtId="0" fontId="30" fillId="5" borderId="19" xfId="5" applyFont="1" applyFill="1" applyBorder="1" applyAlignment="1">
      <alignment horizontal="left" vertical="top" wrapText="1"/>
    </xf>
    <xf numFmtId="0" fontId="44" fillId="0" borderId="23" xfId="0" applyFont="1" applyBorder="1" applyAlignment="1">
      <alignment horizontal="left" wrapText="1"/>
    </xf>
    <xf numFmtId="0" fontId="44" fillId="0" borderId="0" xfId="0" applyFont="1" applyAlignment="1">
      <alignment horizontal="left" wrapText="1"/>
    </xf>
    <xf numFmtId="0" fontId="19" fillId="11" borderId="0" xfId="5" applyFont="1" applyFill="1" applyAlignment="1">
      <alignment horizontal="left" vertical="top"/>
    </xf>
    <xf numFmtId="0" fontId="30" fillId="0" borderId="0" xfId="5" applyFont="1" applyAlignment="1">
      <alignment wrapText="1"/>
    </xf>
    <xf numFmtId="0" fontId="41" fillId="0" borderId="0" xfId="5" applyFont="1" applyAlignment="1">
      <alignment horizontal="left" vertical="top" wrapText="1"/>
    </xf>
    <xf numFmtId="0" fontId="30" fillId="0" borderId="26" xfId="5" applyFont="1" applyBorder="1" applyAlignment="1">
      <alignment horizontal="left" vertical="top" wrapText="1"/>
    </xf>
    <xf numFmtId="0" fontId="29" fillId="0" borderId="23" xfId="5" applyFont="1" applyBorder="1" applyAlignment="1">
      <alignment wrapText="1"/>
    </xf>
    <xf numFmtId="0" fontId="29" fillId="0" borderId="0" xfId="5" applyFont="1" applyAlignment="1">
      <alignment wrapText="1"/>
    </xf>
    <xf numFmtId="0" fontId="46" fillId="0" borderId="23" xfId="5" applyFont="1" applyBorder="1" applyAlignment="1">
      <alignment wrapText="1"/>
    </xf>
    <xf numFmtId="0" fontId="46" fillId="0" borderId="0" xfId="5" applyFont="1" applyAlignment="1">
      <alignment wrapText="1"/>
    </xf>
    <xf numFmtId="0" fontId="27" fillId="0" borderId="24" xfId="5" applyFont="1" applyBorder="1" applyAlignment="1">
      <alignment horizontal="right" wrapText="1"/>
    </xf>
    <xf numFmtId="0" fontId="27" fillId="0" borderId="6" xfId="5" applyFont="1" applyBorder="1" applyAlignment="1">
      <alignment horizontal="right" wrapText="1"/>
    </xf>
    <xf numFmtId="0" fontId="41" fillId="0" borderId="25" xfId="5" applyFont="1" applyBorder="1" applyAlignment="1">
      <alignment horizontal="left" vertical="top" wrapText="1"/>
    </xf>
    <xf numFmtId="0" fontId="41" fillId="0" borderId="15" xfId="5" applyFont="1" applyBorder="1" applyAlignment="1">
      <alignment horizontal="left" vertical="top" wrapText="1"/>
    </xf>
    <xf numFmtId="0" fontId="41" fillId="0" borderId="26" xfId="5" applyFont="1" applyBorder="1" applyAlignment="1">
      <alignment horizontal="left" vertical="top" wrapText="1"/>
    </xf>
    <xf numFmtId="0" fontId="30" fillId="0" borderId="23" xfId="5" applyFont="1" applyBorder="1" applyAlignment="1">
      <alignment horizontal="left" wrapText="1"/>
    </xf>
    <xf numFmtId="0" fontId="19" fillId="0" borderId="0" xfId="0" applyFont="1" applyAlignment="1">
      <alignment wrapText="1"/>
    </xf>
    <xf numFmtId="0" fontId="41" fillId="0" borderId="23" xfId="5" applyFont="1" applyBorder="1" applyAlignment="1">
      <alignment wrapText="1"/>
    </xf>
    <xf numFmtId="0" fontId="26" fillId="0" borderId="0" xfId="5" applyFont="1" applyAlignment="1" applyProtection="1">
      <alignment horizontal="center"/>
      <protection hidden="1"/>
    </xf>
    <xf numFmtId="0" fontId="27" fillId="7" borderId="21" xfId="5" applyFont="1" applyFill="1" applyBorder="1" applyAlignment="1">
      <alignment wrapText="1"/>
    </xf>
    <xf numFmtId="0" fontId="49" fillId="14" borderId="0" xfId="5" applyFont="1" applyFill="1" applyAlignment="1">
      <alignment horizontal="right"/>
    </xf>
    <xf numFmtId="0" fontId="29" fillId="0" borderId="0" xfId="5" applyFont="1" applyAlignment="1">
      <alignment horizontal="right"/>
    </xf>
    <xf numFmtId="0" fontId="19" fillId="0" borderId="0" xfId="0" applyFont="1" applyAlignment="1">
      <alignment horizontal="left" wrapText="1"/>
    </xf>
    <xf numFmtId="0" fontId="27" fillId="0" borderId="0" xfId="5" applyFont="1" applyAlignment="1">
      <alignment horizontal="right"/>
    </xf>
    <xf numFmtId="0" fontId="41" fillId="0" borderId="19" xfId="5" applyFont="1" applyBorder="1" applyAlignment="1">
      <alignment horizontal="left" vertical="top" wrapText="1"/>
    </xf>
    <xf numFmtId="0" fontId="56" fillId="0" borderId="48" xfId="15" applyFont="1" applyBorder="1" applyAlignment="1">
      <alignment horizontal="center"/>
    </xf>
    <xf numFmtId="0" fontId="56" fillId="0" borderId="62" xfId="15" applyFont="1" applyBorder="1" applyAlignment="1">
      <alignment horizontal="center"/>
    </xf>
    <xf numFmtId="0" fontId="56" fillId="0" borderId="61" xfId="15" applyFont="1" applyBorder="1" applyAlignment="1">
      <alignment horizontal="center"/>
    </xf>
    <xf numFmtId="0" fontId="56" fillId="0" borderId="44" xfId="17" applyFont="1" applyBorder="1" applyAlignment="1">
      <alignment horizontal="center" wrapText="1"/>
    </xf>
    <xf numFmtId="0" fontId="56" fillId="0" borderId="0" xfId="17" applyFont="1" applyAlignment="1">
      <alignment horizontal="center" wrapText="1"/>
    </xf>
    <xf numFmtId="0" fontId="56" fillId="0" borderId="43" xfId="17" applyFont="1" applyBorder="1" applyAlignment="1">
      <alignment horizontal="center" wrapText="1"/>
    </xf>
    <xf numFmtId="0" fontId="59" fillId="14" borderId="44" xfId="22" applyFont="1" applyFill="1" applyBorder="1" applyAlignment="1">
      <alignment horizontal="right" vertical="top"/>
    </xf>
    <xf numFmtId="0" fontId="59" fillId="14" borderId="0" xfId="22" applyFont="1" applyFill="1" applyAlignment="1">
      <alignment horizontal="right" vertical="top"/>
    </xf>
    <xf numFmtId="0" fontId="78" fillId="15" borderId="46" xfId="15" applyFont="1" applyFill="1" applyBorder="1" applyAlignment="1">
      <alignment horizontal="left" vertical="top" wrapText="1"/>
    </xf>
    <xf numFmtId="0" fontId="78" fillId="15" borderId="36" xfId="15" applyFont="1" applyFill="1" applyBorder="1" applyAlignment="1">
      <alignment horizontal="left" vertical="top" wrapText="1"/>
    </xf>
    <xf numFmtId="0" fontId="78" fillId="15" borderId="45" xfId="15" applyFont="1" applyFill="1" applyBorder="1" applyAlignment="1">
      <alignment horizontal="left" vertical="top" wrapText="1"/>
    </xf>
    <xf numFmtId="0" fontId="78" fillId="14" borderId="46" xfId="22" applyFont="1" applyFill="1" applyBorder="1" applyAlignment="1">
      <alignment horizontal="left" vertical="top" wrapText="1"/>
    </xf>
    <xf numFmtId="0" fontId="78" fillId="14" borderId="36" xfId="22" applyFont="1" applyFill="1" applyBorder="1" applyAlignment="1">
      <alignment horizontal="left" vertical="top" wrapText="1"/>
    </xf>
    <xf numFmtId="0" fontId="78" fillId="14" borderId="45" xfId="22" applyFont="1" applyFill="1" applyBorder="1" applyAlignment="1">
      <alignment horizontal="left" vertical="top" wrapText="1"/>
    </xf>
    <xf numFmtId="0" fontId="78" fillId="14" borderId="46" xfId="15" applyFont="1" applyFill="1" applyBorder="1" applyAlignment="1">
      <alignment horizontal="left" vertical="top" wrapText="1"/>
    </xf>
    <xf numFmtId="0" fontId="78" fillId="14" borderId="36" xfId="15" applyFont="1" applyFill="1" applyBorder="1" applyAlignment="1">
      <alignment horizontal="left" vertical="top" wrapText="1"/>
    </xf>
    <xf numFmtId="0" fontId="78" fillId="14" borderId="45" xfId="15" applyFont="1" applyFill="1" applyBorder="1" applyAlignment="1">
      <alignment horizontal="left" vertical="top" wrapText="1"/>
    </xf>
    <xf numFmtId="0" fontId="55" fillId="16" borderId="46" xfId="15" applyFont="1" applyFill="1" applyBorder="1" applyAlignment="1">
      <alignment horizontal="left" vertical="top" wrapText="1"/>
    </xf>
    <xf numFmtId="0" fontId="55" fillId="16" borderId="36" xfId="15" applyFont="1" applyFill="1" applyBorder="1" applyAlignment="1">
      <alignment horizontal="left" vertical="top" wrapText="1"/>
    </xf>
    <xf numFmtId="0" fontId="55" fillId="16" borderId="45" xfId="15" applyFont="1" applyFill="1" applyBorder="1" applyAlignment="1">
      <alignment horizontal="left" vertical="top" wrapText="1"/>
    </xf>
    <xf numFmtId="0" fontId="55" fillId="11" borderId="25" xfId="22" applyFont="1" applyFill="1" applyBorder="1" applyAlignment="1">
      <alignment horizontal="left" vertical="top" wrapText="1"/>
    </xf>
    <xf numFmtId="0" fontId="55" fillId="11" borderId="15" xfId="22" applyFont="1" applyFill="1" applyBorder="1" applyAlignment="1">
      <alignment horizontal="left" vertical="top" wrapText="1"/>
    </xf>
    <xf numFmtId="0" fontId="55" fillId="11" borderId="26" xfId="22" applyFont="1" applyFill="1" applyBorder="1" applyAlignment="1">
      <alignment horizontal="left" vertical="top" wrapText="1"/>
    </xf>
    <xf numFmtId="0" fontId="55" fillId="0" borderId="21" xfId="22" applyFont="1" applyBorder="1" applyAlignment="1">
      <alignment horizontal="center"/>
    </xf>
    <xf numFmtId="0" fontId="55" fillId="0" borderId="25" xfId="22" applyFont="1" applyBorder="1" applyAlignment="1">
      <alignment horizontal="left" vertical="top" wrapText="1"/>
    </xf>
    <xf numFmtId="0" fontId="55" fillId="0" borderId="15" xfId="22" applyFont="1" applyBorder="1" applyAlignment="1">
      <alignment horizontal="left" vertical="top" wrapText="1"/>
    </xf>
    <xf numFmtId="0" fontId="58" fillId="14" borderId="0" xfId="22" applyFont="1" applyFill="1" applyAlignment="1">
      <alignment horizontal="right" vertical="top"/>
    </xf>
    <xf numFmtId="167" fontId="58" fillId="14" borderId="0" xfId="24" applyNumberFormat="1" applyFont="1" applyFill="1" applyBorder="1" applyAlignment="1" applyProtection="1">
      <alignment horizontal="right" vertical="top"/>
    </xf>
    <xf numFmtId="0" fontId="59" fillId="14" borderId="0" xfId="22" applyFont="1" applyFill="1" applyAlignment="1">
      <alignment horizontal="right" wrapText="1"/>
    </xf>
    <xf numFmtId="0" fontId="64" fillId="0" borderId="0" xfId="22" applyFont="1" applyAlignment="1">
      <alignment horizontal="left" vertical="top" wrapText="1"/>
    </xf>
    <xf numFmtId="0" fontId="55" fillId="0" borderId="20" xfId="22" applyFont="1" applyBorder="1" applyAlignment="1">
      <alignment horizontal="left" wrapText="1"/>
    </xf>
    <xf numFmtId="0" fontId="55" fillId="0" borderId="21" xfId="22" applyFont="1" applyBorder="1" applyAlignment="1">
      <alignment horizontal="left" wrapText="1"/>
    </xf>
    <xf numFmtId="0" fontId="55" fillId="0" borderId="23" xfId="22" applyFont="1" applyBorder="1" applyAlignment="1">
      <alignment horizontal="left" wrapText="1"/>
    </xf>
    <xf numFmtId="0" fontId="55" fillId="0" borderId="0" xfId="22" applyFont="1" applyAlignment="1">
      <alignment horizontal="left" wrapText="1"/>
    </xf>
    <xf numFmtId="0" fontId="55" fillId="0" borderId="23" xfId="22" applyFont="1" applyBorder="1" applyAlignment="1">
      <alignment horizontal="left" vertical="top" wrapText="1"/>
    </xf>
    <xf numFmtId="0" fontId="55" fillId="0" borderId="0" xfId="22" applyFont="1" applyAlignment="1">
      <alignment horizontal="left" vertical="top" wrapText="1"/>
    </xf>
    <xf numFmtId="5" fontId="55" fillId="0" borderId="25" xfId="22" applyNumberFormat="1" applyFont="1" applyBorder="1" applyAlignment="1">
      <alignment horizontal="left" vertical="top" wrapText="1"/>
    </xf>
    <xf numFmtId="5" fontId="55" fillId="0" borderId="15" xfId="22" applyNumberFormat="1" applyFont="1" applyBorder="1" applyAlignment="1">
      <alignment horizontal="left" vertical="top" wrapText="1"/>
    </xf>
    <xf numFmtId="5" fontId="55" fillId="0" borderId="21" xfId="22" applyNumberFormat="1" applyFont="1" applyBorder="1" applyAlignment="1">
      <alignment horizontal="center"/>
    </xf>
    <xf numFmtId="0" fontId="57" fillId="0" borderId="25" xfId="22" applyFont="1" applyBorder="1" applyAlignment="1">
      <alignment horizontal="left" vertical="top" wrapText="1"/>
    </xf>
    <xf numFmtId="0" fontId="57" fillId="0" borderId="15" xfId="22" applyFont="1" applyBorder="1" applyAlignment="1">
      <alignment horizontal="left" vertical="top" wrapText="1"/>
    </xf>
    <xf numFmtId="0" fontId="57" fillId="0" borderId="26" xfId="22" applyFont="1" applyBorder="1" applyAlignment="1">
      <alignment horizontal="left" vertical="top" wrapText="1"/>
    </xf>
    <xf numFmtId="0" fontId="56" fillId="11" borderId="25" xfId="22" applyFont="1" applyFill="1" applyBorder="1" applyAlignment="1">
      <alignment horizontal="left" vertical="top" wrapText="1"/>
    </xf>
    <xf numFmtId="0" fontId="55" fillId="0" borderId="19" xfId="22" applyFont="1" applyBorder="1" applyAlignment="1">
      <alignment horizontal="left" wrapText="1"/>
    </xf>
    <xf numFmtId="0" fontId="55" fillId="0" borderId="0" xfId="22" applyFont="1" applyAlignment="1">
      <alignment horizontal="left"/>
    </xf>
    <xf numFmtId="0" fontId="55" fillId="0" borderId="19" xfId="22" applyFont="1" applyBorder="1" applyAlignment="1">
      <alignment horizontal="left"/>
    </xf>
    <xf numFmtId="0" fontId="66" fillId="0" borderId="0" xfId="15" applyFont="1" applyAlignment="1">
      <alignment horizontal="left" wrapText="1"/>
    </xf>
    <xf numFmtId="0" fontId="66" fillId="0" borderId="19" xfId="15" applyFont="1" applyBorder="1" applyAlignment="1">
      <alignment horizontal="left" wrapText="1"/>
    </xf>
    <xf numFmtId="0" fontId="56" fillId="0" borderId="24" xfId="22" applyFont="1" applyBorder="1" applyAlignment="1">
      <alignment horizontal="left" wrapText="1"/>
    </xf>
    <xf numFmtId="0" fontId="56" fillId="0" borderId="6" xfId="22" applyFont="1" applyBorder="1" applyAlignment="1">
      <alignment horizontal="left" wrapText="1"/>
    </xf>
    <xf numFmtId="0" fontId="55" fillId="0" borderId="15" xfId="15" applyFont="1" applyBorder="1" applyAlignment="1">
      <alignment horizontal="left" wrapText="1"/>
    </xf>
    <xf numFmtId="0" fontId="55" fillId="0" borderId="26" xfId="15" applyFont="1" applyBorder="1" applyAlignment="1">
      <alignment horizontal="left" wrapText="1"/>
    </xf>
    <xf numFmtId="0" fontId="54" fillId="9" borderId="21" xfId="22" applyFont="1" applyFill="1" applyBorder="1" applyAlignment="1">
      <alignment horizontal="left" wrapText="1"/>
    </xf>
    <xf numFmtId="5" fontId="56" fillId="9" borderId="21" xfId="22" applyNumberFormat="1" applyFont="1" applyFill="1" applyBorder="1" applyAlignment="1">
      <alignment horizontal="right"/>
    </xf>
    <xf numFmtId="0" fontId="55" fillId="0" borderId="23" xfId="22" applyFont="1" applyBorder="1" applyAlignment="1">
      <alignment horizontal="left"/>
    </xf>
    <xf numFmtId="0" fontId="55" fillId="9" borderId="21" xfId="15" applyFont="1" applyFill="1" applyBorder="1" applyAlignment="1">
      <alignment horizontal="left" wrapText="1"/>
    </xf>
    <xf numFmtId="0" fontId="66" fillId="0" borderId="0" xfId="22" applyFont="1" applyAlignment="1">
      <alignment horizontal="left"/>
    </xf>
    <xf numFmtId="0" fontId="66" fillId="0" borderId="19" xfId="22" applyFont="1" applyBorder="1" applyAlignment="1">
      <alignment horizontal="left"/>
    </xf>
    <xf numFmtId="0" fontId="77" fillId="11" borderId="0" xfId="22" applyFont="1" applyFill="1" applyAlignment="1">
      <alignment horizontal="left" wrapText="1"/>
    </xf>
    <xf numFmtId="0" fontId="77" fillId="11" borderId="19" xfId="22" applyFont="1" applyFill="1" applyBorder="1" applyAlignment="1">
      <alignment horizontal="left" wrapText="1"/>
    </xf>
    <xf numFmtId="0" fontId="66" fillId="11" borderId="0" xfId="22" applyFont="1" applyFill="1" applyAlignment="1">
      <alignment horizontal="left" wrapText="1"/>
    </xf>
    <xf numFmtId="0" fontId="66" fillId="11" borderId="19" xfId="22" applyFont="1" applyFill="1" applyBorder="1" applyAlignment="1">
      <alignment horizontal="left" wrapText="1"/>
    </xf>
    <xf numFmtId="0" fontId="56" fillId="0" borderId="24" xfId="22" applyFont="1" applyBorder="1" applyAlignment="1">
      <alignment horizontal="left"/>
    </xf>
    <xf numFmtId="0" fontId="56" fillId="0" borderId="6" xfId="22" applyFont="1" applyBorder="1" applyAlignment="1">
      <alignment horizontal="left"/>
    </xf>
    <xf numFmtId="0" fontId="66" fillId="0" borderId="15" xfId="15" applyFont="1" applyBorder="1" applyAlignment="1">
      <alignment horizontal="left" wrapText="1"/>
    </xf>
    <xf numFmtId="0" fontId="66" fillId="0" borderId="26" xfId="15" applyFont="1" applyBorder="1" applyAlignment="1">
      <alignment horizontal="left" wrapText="1"/>
    </xf>
    <xf numFmtId="0" fontId="55" fillId="7" borderId="21" xfId="22" applyFont="1" applyFill="1" applyBorder="1" applyAlignment="1">
      <alignment wrapText="1"/>
    </xf>
    <xf numFmtId="5" fontId="56" fillId="7" borderId="21" xfId="22" applyNumberFormat="1" applyFont="1" applyFill="1" applyBorder="1" applyAlignment="1">
      <alignment horizontal="right"/>
    </xf>
    <xf numFmtId="171" fontId="56" fillId="9" borderId="21" xfId="22" applyNumberFormat="1" applyFont="1" applyFill="1" applyBorder="1" applyAlignment="1">
      <alignment horizontal="right" wrapText="1"/>
    </xf>
    <xf numFmtId="0" fontId="66" fillId="0" borderId="0" xfId="22" applyFont="1" applyAlignment="1">
      <alignment horizontal="left" wrapText="1"/>
    </xf>
    <xf numFmtId="0" fontId="66" fillId="0" borderId="19" xfId="22" applyFont="1" applyBorder="1" applyAlignment="1">
      <alignment horizontal="left" wrapText="1"/>
    </xf>
    <xf numFmtId="0" fontId="66" fillId="0" borderId="0" xfId="15" applyFont="1" applyAlignment="1">
      <alignment wrapText="1"/>
    </xf>
    <xf numFmtId="0" fontId="66" fillId="0" borderId="19" xfId="15" applyFont="1" applyBorder="1" applyAlignment="1">
      <alignment wrapText="1"/>
    </xf>
    <xf numFmtId="0" fontId="56" fillId="0" borderId="0" xfId="22" applyFont="1" applyAlignment="1">
      <alignment horizontal="left"/>
    </xf>
    <xf numFmtId="0" fontId="56" fillId="0" borderId="19" xfId="22" applyFont="1" applyBorder="1" applyAlignment="1">
      <alignment horizontal="left"/>
    </xf>
    <xf numFmtId="0" fontId="55" fillId="0" borderId="19" xfId="22" applyFont="1" applyBorder="1" applyAlignment="1">
      <alignment horizontal="left" vertical="top" wrapText="1"/>
    </xf>
    <xf numFmtId="0" fontId="55" fillId="0" borderId="15" xfId="22" applyFont="1" applyBorder="1" applyAlignment="1">
      <alignment horizontal="left" wrapText="1"/>
    </xf>
    <xf numFmtId="0" fontId="55" fillId="0" borderId="26" xfId="22" applyFont="1" applyBorder="1" applyAlignment="1">
      <alignment horizontal="left" wrapText="1"/>
    </xf>
    <xf numFmtId="0" fontId="55" fillId="7" borderId="0" xfId="22" applyFont="1" applyFill="1" applyAlignment="1">
      <alignment horizontal="left" wrapText="1"/>
    </xf>
    <xf numFmtId="5" fontId="56" fillId="7" borderId="0" xfId="22" applyNumberFormat="1" applyFont="1" applyFill="1" applyAlignment="1">
      <alignment horizontal="right"/>
    </xf>
    <xf numFmtId="0" fontId="55" fillId="0" borderId="0" xfId="22" applyFont="1" applyAlignment="1">
      <alignment horizontal="center" wrapText="1"/>
    </xf>
    <xf numFmtId="0" fontId="55" fillId="0" borderId="15" xfId="22" applyFont="1" applyBorder="1" applyAlignment="1">
      <alignment horizontal="center" wrapText="1"/>
    </xf>
    <xf numFmtId="0" fontId="55" fillId="0" borderId="0" xfId="22" applyFont="1" applyAlignment="1">
      <alignment wrapText="1"/>
    </xf>
    <xf numFmtId="0" fontId="55" fillId="0" borderId="19" xfId="22" applyFont="1" applyBorder="1" applyAlignment="1">
      <alignment wrapText="1"/>
    </xf>
    <xf numFmtId="0" fontId="66" fillId="0" borderId="15" xfId="15" applyFont="1" applyBorder="1" applyAlignment="1">
      <alignment wrapText="1"/>
    </xf>
    <xf numFmtId="0" fontId="66" fillId="0" borderId="26" xfId="15" applyFont="1" applyBorder="1" applyAlignment="1">
      <alignment wrapText="1"/>
    </xf>
    <xf numFmtId="0" fontId="61" fillId="14" borderId="7" xfId="22" applyFont="1" applyFill="1" applyBorder="1" applyAlignment="1">
      <alignment horizontal="center" vertical="top" wrapText="1"/>
    </xf>
    <xf numFmtId="0" fontId="76" fillId="9" borderId="0" xfId="15" applyFont="1" applyFill="1" applyAlignment="1">
      <alignment horizontal="left"/>
    </xf>
    <xf numFmtId="0" fontId="61" fillId="7" borderId="21" xfId="22" applyFont="1" applyFill="1" applyBorder="1" applyAlignment="1">
      <alignment horizontal="center" wrapText="1"/>
    </xf>
    <xf numFmtId="0" fontId="57" fillId="0" borderId="23" xfId="22" applyFont="1" applyBorder="1" applyAlignment="1">
      <alignment wrapText="1"/>
    </xf>
    <xf numFmtId="0" fontId="56" fillId="0" borderId="0" xfId="17" applyFont="1" applyAlignment="1">
      <alignment wrapText="1"/>
    </xf>
    <xf numFmtId="0" fontId="66" fillId="0" borderId="23" xfId="15" applyFont="1" applyBorder="1" applyAlignment="1">
      <alignment horizontal="left" wrapText="1"/>
    </xf>
    <xf numFmtId="0" fontId="55" fillId="11" borderId="23" xfId="23" applyFont="1" applyFill="1" applyBorder="1" applyAlignment="1">
      <alignment horizontal="left" wrapText="1"/>
    </xf>
    <xf numFmtId="0" fontId="55" fillId="11" borderId="0" xfId="23" applyFont="1" applyFill="1" applyAlignment="1">
      <alignment horizontal="left" wrapText="1"/>
    </xf>
    <xf numFmtId="0" fontId="55" fillId="7" borderId="0" xfId="22" applyFont="1" applyFill="1" applyAlignment="1">
      <alignment wrapText="1"/>
    </xf>
    <xf numFmtId="0" fontId="55" fillId="11" borderId="0" xfId="15" applyFont="1" applyFill="1" applyAlignment="1">
      <alignment horizontal="left" wrapText="1"/>
    </xf>
    <xf numFmtId="0" fontId="55" fillId="11" borderId="19" xfId="15" applyFont="1" applyFill="1" applyBorder="1" applyAlignment="1">
      <alignment horizontal="left" wrapText="1"/>
    </xf>
    <xf numFmtId="0" fontId="55" fillId="0" borderId="0" xfId="17" applyFont="1" applyAlignment="1">
      <alignment horizontal="left" wrapText="1"/>
    </xf>
    <xf numFmtId="0" fontId="55" fillId="0" borderId="19" xfId="17" applyFont="1" applyBorder="1" applyAlignment="1">
      <alignment horizontal="left" wrapText="1"/>
    </xf>
    <xf numFmtId="0" fontId="54" fillId="0" borderId="0" xfId="22" applyFont="1" applyAlignment="1">
      <alignment horizontal="left" wrapText="1"/>
    </xf>
    <xf numFmtId="0" fontId="54" fillId="0" borderId="19" xfId="22" applyFont="1" applyBorder="1" applyAlignment="1">
      <alignment horizontal="left" wrapText="1"/>
    </xf>
    <xf numFmtId="0" fontId="55" fillId="11" borderId="23" xfId="23" applyFont="1" applyFill="1" applyBorder="1" applyAlignment="1">
      <alignment horizontal="left"/>
    </xf>
    <xf numFmtId="0" fontId="55" fillId="11" borderId="0" xfId="23" applyFont="1" applyFill="1" applyAlignment="1">
      <alignment horizontal="left"/>
    </xf>
    <xf numFmtId="0" fontId="67" fillId="0" borderId="0" xfId="22" applyFont="1" applyAlignment="1">
      <alignment horizontal="left" wrapText="1"/>
    </xf>
    <xf numFmtId="0" fontId="67" fillId="0" borderId="19" xfId="22" applyFont="1" applyBorder="1" applyAlignment="1">
      <alignment horizontal="left" wrapText="1"/>
    </xf>
    <xf numFmtId="0" fontId="66" fillId="0" borderId="23" xfId="22" applyFont="1" applyBorder="1" applyAlignment="1">
      <alignment wrapText="1"/>
    </xf>
    <xf numFmtId="0" fontId="66" fillId="0" borderId="0" xfId="22" applyFont="1" applyAlignment="1">
      <alignment wrapText="1"/>
    </xf>
    <xf numFmtId="0" fontId="66" fillId="0" borderId="19" xfId="22" applyFont="1" applyBorder="1" applyAlignment="1">
      <alignment wrapText="1"/>
    </xf>
    <xf numFmtId="0" fontId="66" fillId="11" borderId="0" xfId="22" applyFont="1" applyFill="1" applyAlignment="1">
      <alignment horizontal="left" vertical="top" wrapText="1"/>
    </xf>
    <xf numFmtId="0" fontId="66" fillId="11" borderId="19" xfId="22" applyFont="1" applyFill="1" applyBorder="1" applyAlignment="1">
      <alignment horizontal="left" vertical="top" wrapText="1"/>
    </xf>
    <xf numFmtId="0" fontId="61" fillId="0" borderId="0" xfId="22" applyFont="1" applyAlignment="1">
      <alignment horizontal="center" vertical="top" wrapText="1"/>
    </xf>
    <xf numFmtId="0" fontId="61" fillId="0" borderId="19" xfId="22" applyFont="1" applyBorder="1" applyAlignment="1">
      <alignment horizontal="center" vertical="top" wrapText="1"/>
    </xf>
    <xf numFmtId="0" fontId="61" fillId="11" borderId="15" xfId="22" applyFont="1" applyFill="1" applyBorder="1" applyAlignment="1">
      <alignment horizontal="center" vertical="top" wrapText="1"/>
    </xf>
    <xf numFmtId="0" fontId="61" fillId="11" borderId="26" xfId="22" applyFont="1" applyFill="1" applyBorder="1" applyAlignment="1">
      <alignment horizontal="center" vertical="top" wrapText="1"/>
    </xf>
    <xf numFmtId="0" fontId="61" fillId="14" borderId="15" xfId="22" applyFont="1" applyFill="1" applyBorder="1" applyAlignment="1">
      <alignment horizontal="center" vertical="top" wrapText="1"/>
    </xf>
    <xf numFmtId="0" fontId="56" fillId="7" borderId="21" xfId="22" applyFont="1" applyFill="1" applyBorder="1" applyAlignment="1">
      <alignment wrapText="1"/>
    </xf>
    <xf numFmtId="0" fontId="55" fillId="0" borderId="23" xfId="22" applyFont="1" applyBorder="1" applyAlignment="1">
      <alignment horizontal="right" wrapText="1"/>
    </xf>
    <xf numFmtId="0" fontId="55" fillId="0" borderId="0" xfId="22" applyFont="1" applyAlignment="1">
      <alignment horizontal="right" wrapText="1"/>
    </xf>
    <xf numFmtId="0" fontId="66" fillId="0" borderId="0" xfId="22" applyFont="1" applyAlignment="1">
      <alignment horizontal="left" vertical="top" wrapText="1"/>
    </xf>
    <xf numFmtId="0" fontId="68" fillId="0" borderId="0" xfId="22" applyFont="1" applyAlignment="1">
      <alignment horizontal="left" vertical="top" wrapText="1"/>
    </xf>
    <xf numFmtId="0" fontId="68" fillId="0" borderId="19" xfId="22" applyFont="1" applyBorder="1" applyAlignment="1">
      <alignment horizontal="left" vertical="top" wrapText="1"/>
    </xf>
    <xf numFmtId="0" fontId="66" fillId="0" borderId="19" xfId="22" applyFont="1" applyBorder="1" applyAlignment="1">
      <alignment horizontal="left" vertical="top" wrapText="1"/>
    </xf>
    <xf numFmtId="0" fontId="68" fillId="14" borderId="7" xfId="22" applyFont="1" applyFill="1" applyBorder="1" applyAlignment="1">
      <alignment horizontal="center" vertical="top" wrapText="1"/>
    </xf>
    <xf numFmtId="0" fontId="55" fillId="7" borderId="21" xfId="22" applyFont="1" applyFill="1" applyBorder="1" applyAlignment="1">
      <alignment horizontal="center" vertical="top"/>
    </xf>
    <xf numFmtId="0" fontId="57" fillId="0" borderId="23" xfId="22" applyFont="1" applyBorder="1" applyAlignment="1">
      <alignment horizontal="left" wrapText="1"/>
    </xf>
    <xf numFmtId="0" fontId="61" fillId="0" borderId="23" xfId="22" applyFont="1" applyBorder="1" applyAlignment="1">
      <alignment horizontal="left" vertical="top" wrapText="1"/>
    </xf>
    <xf numFmtId="0" fontId="61" fillId="0" borderId="0" xfId="22" applyFont="1" applyAlignment="1">
      <alignment horizontal="left" vertical="top" wrapText="1"/>
    </xf>
    <xf numFmtId="0" fontId="66" fillId="0" borderId="15" xfId="22" applyFont="1" applyBorder="1" applyAlignment="1">
      <alignment horizontal="left" vertical="top" wrapText="1"/>
    </xf>
    <xf numFmtId="0" fontId="66" fillId="0" borderId="26" xfId="22" applyFont="1" applyBorder="1" applyAlignment="1">
      <alignment horizontal="left" vertical="top" wrapText="1"/>
    </xf>
    <xf numFmtId="0" fontId="65" fillId="0" borderId="25" xfId="22" applyFont="1" applyBorder="1" applyAlignment="1">
      <alignment horizontal="left" vertical="top" wrapText="1"/>
    </xf>
    <xf numFmtId="0" fontId="65" fillId="0" borderId="15" xfId="22" applyFont="1" applyBorder="1" applyAlignment="1">
      <alignment horizontal="left" vertical="top" wrapText="1"/>
    </xf>
    <xf numFmtId="0" fontId="55" fillId="0" borderId="20" xfId="15" applyFont="1" applyBorder="1" applyAlignment="1">
      <alignment horizontal="left" vertical="top" wrapText="1"/>
    </xf>
    <xf numFmtId="0" fontId="55" fillId="0" borderId="21" xfId="15" applyFont="1" applyBorder="1" applyAlignment="1">
      <alignment horizontal="left" vertical="top" wrapText="1"/>
    </xf>
    <xf numFmtId="0" fontId="55" fillId="0" borderId="22" xfId="15" applyFont="1" applyBorder="1" applyAlignment="1">
      <alignment horizontal="left" vertical="top" wrapText="1"/>
    </xf>
    <xf numFmtId="0" fontId="55" fillId="0" borderId="23" xfId="15" applyFont="1" applyBorder="1" applyAlignment="1">
      <alignment horizontal="center" vertical="top" wrapText="1"/>
    </xf>
    <xf numFmtId="0" fontId="55" fillId="0" borderId="0" xfId="15" applyFont="1" applyAlignment="1">
      <alignment horizontal="center" vertical="top" wrapText="1"/>
    </xf>
    <xf numFmtId="0" fontId="55" fillId="0" borderId="19" xfId="15" applyFont="1" applyBorder="1" applyAlignment="1">
      <alignment horizontal="center" vertical="top" wrapText="1"/>
    </xf>
    <xf numFmtId="0" fontId="56" fillId="0" borderId="24" xfId="22" applyFont="1" applyBorder="1" applyAlignment="1">
      <alignment horizontal="right" wrapText="1"/>
    </xf>
    <xf numFmtId="0" fontId="56" fillId="0" borderId="6" xfId="22" applyFont="1" applyBorder="1" applyAlignment="1">
      <alignment horizontal="right" wrapText="1"/>
    </xf>
    <xf numFmtId="0" fontId="54" fillId="0" borderId="0" xfId="22" applyFont="1" applyAlignment="1">
      <alignment horizontal="center"/>
    </xf>
    <xf numFmtId="0" fontId="55" fillId="0" borderId="23" xfId="15" applyFont="1" applyBorder="1" applyAlignment="1">
      <alignment horizontal="left" wrapText="1"/>
    </xf>
    <xf numFmtId="0" fontId="55" fillId="0" borderId="0" xfId="15" applyFont="1" applyAlignment="1">
      <alignment horizontal="left" wrapText="1"/>
    </xf>
    <xf numFmtId="0" fontId="55" fillId="0" borderId="17" xfId="22" applyFont="1" applyBorder="1" applyAlignment="1">
      <alignment horizontal="left" wrapText="1"/>
    </xf>
    <xf numFmtId="0" fontId="55" fillId="0" borderId="7" xfId="22" applyFont="1" applyBorder="1" applyAlignment="1">
      <alignment horizontal="left" wrapText="1"/>
    </xf>
    <xf numFmtId="0" fontId="55" fillId="0" borderId="17" xfId="22" applyFont="1" applyBorder="1" applyAlignment="1">
      <alignment horizontal="left" vertical="top" wrapText="1"/>
    </xf>
    <xf numFmtId="0" fontId="55" fillId="0" borderId="7" xfId="22" applyFont="1" applyBorder="1" applyAlignment="1">
      <alignment horizontal="left" vertical="top" wrapText="1"/>
    </xf>
    <xf numFmtId="0" fontId="55" fillId="0" borderId="18" xfId="22" applyFont="1" applyBorder="1" applyAlignment="1">
      <alignment horizontal="left" vertical="top" wrapText="1"/>
    </xf>
    <xf numFmtId="0" fontId="64" fillId="0" borderId="20" xfId="22" applyFont="1" applyBorder="1" applyAlignment="1">
      <alignment horizontal="left" vertical="top" wrapText="1"/>
    </xf>
    <xf numFmtId="0" fontId="64" fillId="0" borderId="21" xfId="22" applyFont="1" applyBorder="1" applyAlignment="1">
      <alignment horizontal="left" vertical="top" wrapText="1"/>
    </xf>
    <xf numFmtId="0" fontId="55" fillId="11" borderId="23" xfId="22" applyFont="1" applyFill="1" applyBorder="1" applyAlignment="1">
      <alignment horizontal="left" vertical="top"/>
    </xf>
    <xf numFmtId="0" fontId="55" fillId="11" borderId="0" xfId="22" applyFont="1" applyFill="1" applyAlignment="1">
      <alignment horizontal="left" vertical="top"/>
    </xf>
    <xf numFmtId="0" fontId="55" fillId="11" borderId="19" xfId="22" applyFont="1" applyFill="1" applyBorder="1" applyAlignment="1">
      <alignment horizontal="left" vertical="top"/>
    </xf>
    <xf numFmtId="0" fontId="85" fillId="13" borderId="23" xfId="15" applyFont="1" applyFill="1" applyBorder="1" applyAlignment="1">
      <alignment horizontal="center" wrapText="1"/>
    </xf>
    <xf numFmtId="0" fontId="85" fillId="13" borderId="0" xfId="15" applyFont="1" applyFill="1" applyAlignment="1">
      <alignment horizontal="center" wrapText="1"/>
    </xf>
    <xf numFmtId="0" fontId="55" fillId="0" borderId="23" xfId="22" applyFont="1" applyBorder="1" applyAlignment="1">
      <alignment horizontal="left" vertical="top"/>
    </xf>
    <xf numFmtId="0" fontId="55" fillId="0" borderId="0" xfId="22" applyFont="1" applyAlignment="1">
      <alignment horizontal="left" vertical="top"/>
    </xf>
    <xf numFmtId="0" fontId="55" fillId="0" borderId="19" xfId="22" applyFont="1" applyBorder="1" applyAlignment="1">
      <alignment horizontal="left" vertical="top"/>
    </xf>
    <xf numFmtId="0" fontId="55" fillId="5" borderId="23" xfId="22" applyFont="1" applyFill="1" applyBorder="1" applyAlignment="1">
      <alignment horizontal="left" wrapText="1"/>
    </xf>
    <xf numFmtId="0" fontId="55" fillId="5" borderId="0" xfId="22" applyFont="1" applyFill="1" applyAlignment="1">
      <alignment horizontal="left" wrapText="1"/>
    </xf>
    <xf numFmtId="0" fontId="55" fillId="11" borderId="23" xfId="22" applyFont="1" applyFill="1" applyBorder="1" applyAlignment="1">
      <alignment horizontal="left" wrapText="1"/>
    </xf>
    <xf numFmtId="0" fontId="55" fillId="11" borderId="0" xfId="22" applyFont="1" applyFill="1" applyAlignment="1">
      <alignment horizontal="left" wrapText="1"/>
    </xf>
    <xf numFmtId="0" fontId="55" fillId="11" borderId="19" xfId="22" applyFont="1" applyFill="1" applyBorder="1" applyAlignment="1">
      <alignment horizontal="left" wrapText="1"/>
    </xf>
    <xf numFmtId="0" fontId="55" fillId="5" borderId="23" xfId="15" applyFont="1" applyFill="1" applyBorder="1" applyAlignment="1">
      <alignment horizontal="left"/>
    </xf>
    <xf numFmtId="0" fontId="55" fillId="5" borderId="0" xfId="15" applyFont="1" applyFill="1" applyAlignment="1">
      <alignment horizontal="left"/>
    </xf>
    <xf numFmtId="0" fontId="55" fillId="11" borderId="23" xfId="15" applyFont="1" applyFill="1" applyBorder="1" applyAlignment="1">
      <alignment horizontal="left"/>
    </xf>
    <xf numFmtId="0" fontId="55" fillId="11" borderId="0" xfId="15" applyFont="1" applyFill="1" applyAlignment="1">
      <alignment horizontal="left"/>
    </xf>
    <xf numFmtId="0" fontId="55" fillId="11" borderId="19" xfId="15" applyFont="1" applyFill="1" applyBorder="1" applyAlignment="1">
      <alignment horizontal="left"/>
    </xf>
    <xf numFmtId="0" fontId="55" fillId="11" borderId="23" xfId="15" applyFont="1" applyFill="1" applyBorder="1" applyAlignment="1">
      <alignment horizontal="left" wrapText="1"/>
    </xf>
    <xf numFmtId="0" fontId="56" fillId="0" borderId="0" xfId="22" applyFont="1" applyAlignment="1">
      <alignment horizontal="right"/>
    </xf>
    <xf numFmtId="0" fontId="59" fillId="14" borderId="25" xfId="22" applyFont="1" applyFill="1" applyBorder="1" applyAlignment="1">
      <alignment horizontal="right" wrapText="1"/>
    </xf>
    <xf numFmtId="0" fontId="59" fillId="14" borderId="15" xfId="22" applyFont="1" applyFill="1" applyBorder="1" applyAlignment="1">
      <alignment horizontal="right" wrapText="1"/>
    </xf>
    <xf numFmtId="0" fontId="57" fillId="0" borderId="0" xfId="22" applyFont="1" applyAlignment="1">
      <alignment horizontal="right"/>
    </xf>
    <xf numFmtId="0" fontId="55" fillId="0" borderId="23" xfId="22" applyFont="1" applyBorder="1" applyAlignment="1">
      <alignment horizontal="center" wrapText="1"/>
    </xf>
    <xf numFmtId="0" fontId="55" fillId="0" borderId="19" xfId="22" applyFont="1" applyBorder="1" applyAlignment="1">
      <alignment horizontal="center" wrapText="1"/>
    </xf>
    <xf numFmtId="0" fontId="59" fillId="14" borderId="23" xfId="22" applyFont="1" applyFill="1" applyBorder="1" applyAlignment="1">
      <alignment horizontal="right"/>
    </xf>
    <xf numFmtId="0" fontId="59" fillId="14" borderId="0" xfId="22" applyFont="1" applyFill="1" applyAlignment="1">
      <alignment horizontal="right"/>
    </xf>
    <xf numFmtId="0" fontId="56" fillId="0" borderId="12" xfId="15" applyFont="1" applyBorder="1" applyAlignment="1">
      <alignment horizontal="center"/>
    </xf>
    <xf numFmtId="0" fontId="56" fillId="0" borderId="12" xfId="17" applyFont="1" applyBorder="1" applyAlignment="1">
      <alignment horizontal="center" wrapText="1"/>
    </xf>
    <xf numFmtId="0" fontId="55" fillId="0" borderId="12" xfId="15" applyFont="1" applyBorder="1" applyAlignment="1">
      <alignment horizontal="left" vertical="top" wrapText="1"/>
    </xf>
    <xf numFmtId="5" fontId="55" fillId="14" borderId="25" xfId="22" applyNumberFormat="1" applyFont="1" applyFill="1" applyBorder="1" applyAlignment="1">
      <alignment horizontal="center" vertical="top" wrapText="1"/>
    </xf>
    <xf numFmtId="5" fontId="55" fillId="14" borderId="15" xfId="22" applyNumberFormat="1" applyFont="1" applyFill="1" applyBorder="1" applyAlignment="1">
      <alignment horizontal="center" vertical="top" wrapText="1"/>
    </xf>
    <xf numFmtId="5" fontId="55" fillId="14" borderId="26" xfId="22" applyNumberFormat="1" applyFont="1" applyFill="1" applyBorder="1" applyAlignment="1">
      <alignment horizontal="center" vertical="top" wrapText="1"/>
    </xf>
    <xf numFmtId="0" fontId="54" fillId="7" borderId="17" xfId="22" applyFont="1" applyFill="1" applyBorder="1" applyAlignment="1">
      <alignment horizontal="left"/>
    </xf>
    <xf numFmtId="0" fontId="54" fillId="7" borderId="7" xfId="22" applyFont="1" applyFill="1" applyBorder="1" applyAlignment="1">
      <alignment horizontal="left"/>
    </xf>
    <xf numFmtId="0" fontId="55" fillId="0" borderId="18" xfId="22" applyFont="1" applyBorder="1" applyAlignment="1">
      <alignment horizontal="left" wrapText="1"/>
    </xf>
    <xf numFmtId="0" fontId="64" fillId="0" borderId="12" xfId="22" applyFont="1" applyBorder="1" applyAlignment="1">
      <alignment horizontal="left" vertical="top" wrapText="1"/>
    </xf>
    <xf numFmtId="0" fontId="55" fillId="0" borderId="12" xfId="22" applyFont="1" applyBorder="1" applyAlignment="1">
      <alignment horizontal="left" wrapText="1"/>
    </xf>
    <xf numFmtId="0" fontId="59" fillId="14" borderId="17" xfId="22" applyFont="1" applyFill="1" applyBorder="1" applyAlignment="1">
      <alignment horizontal="right" wrapText="1"/>
    </xf>
    <xf numFmtId="0" fontId="59" fillId="14" borderId="7" xfId="22" applyFont="1" applyFill="1" applyBorder="1" applyAlignment="1">
      <alignment horizontal="right" wrapText="1"/>
    </xf>
    <xf numFmtId="5" fontId="55" fillId="0" borderId="12" xfId="22" applyNumberFormat="1" applyFont="1" applyBorder="1" applyAlignment="1">
      <alignment horizontal="center"/>
    </xf>
    <xf numFmtId="0" fontId="59" fillId="14" borderId="20" xfId="22" applyFont="1" applyFill="1" applyBorder="1" applyAlignment="1">
      <alignment horizontal="right"/>
    </xf>
    <xf numFmtId="0" fontId="59" fillId="14" borderId="21" xfId="22" applyFont="1" applyFill="1" applyBorder="1" applyAlignment="1">
      <alignment horizontal="right"/>
    </xf>
    <xf numFmtId="0" fontId="55" fillId="0" borderId="13" xfId="15" applyFont="1" applyBorder="1" applyAlignment="1">
      <alignment horizontal="left" wrapText="1"/>
    </xf>
    <xf numFmtId="0" fontId="55" fillId="0" borderId="12" xfId="15" applyFont="1" applyBorder="1" applyAlignment="1">
      <alignment horizontal="left" wrapText="1"/>
    </xf>
    <xf numFmtId="0" fontId="55" fillId="0" borderId="18" xfId="22" applyFont="1" applyBorder="1" applyAlignment="1">
      <alignment horizontal="left"/>
    </xf>
    <xf numFmtId="0" fontId="55" fillId="0" borderId="12" xfId="22" applyFont="1" applyBorder="1" applyAlignment="1">
      <alignment horizontal="left"/>
    </xf>
    <xf numFmtId="0" fontId="66" fillId="0" borderId="18" xfId="15" applyFont="1" applyBorder="1" applyAlignment="1">
      <alignment horizontal="left" vertical="top" wrapText="1"/>
    </xf>
    <xf numFmtId="0" fontId="66" fillId="0" borderId="12" xfId="15" applyFont="1" applyBorder="1" applyAlignment="1">
      <alignment horizontal="left" vertical="top" wrapText="1"/>
    </xf>
    <xf numFmtId="0" fontId="61" fillId="7" borderId="12" xfId="22" applyFont="1" applyFill="1" applyBorder="1" applyAlignment="1">
      <alignment horizontal="center" vertical="top"/>
    </xf>
    <xf numFmtId="0" fontId="55" fillId="7" borderId="17" xfId="22" applyFont="1" applyFill="1" applyBorder="1" applyAlignment="1">
      <alignment horizontal="left"/>
    </xf>
    <xf numFmtId="0" fontId="55" fillId="7" borderId="7" xfId="22" applyFont="1" applyFill="1" applyBorder="1" applyAlignment="1">
      <alignment horizontal="left"/>
    </xf>
    <xf numFmtId="0" fontId="55" fillId="7" borderId="18" xfId="22" applyFont="1" applyFill="1" applyBorder="1" applyAlignment="1">
      <alignment horizontal="left"/>
    </xf>
    <xf numFmtId="0" fontId="64" fillId="0" borderId="29" xfId="15" applyFont="1" applyBorder="1" applyAlignment="1">
      <alignment horizontal="left" vertical="top" wrapText="1"/>
    </xf>
    <xf numFmtId="0" fontId="55" fillId="0" borderId="13" xfId="15" applyFont="1" applyBorder="1" applyAlignment="1">
      <alignment horizontal="center" vertical="top" wrapText="1"/>
    </xf>
    <xf numFmtId="0" fontId="55" fillId="0" borderId="25" xfId="15" applyFont="1" applyBorder="1" applyAlignment="1">
      <alignment horizontal="center" vertical="top" wrapText="1"/>
    </xf>
    <xf numFmtId="167" fontId="58" fillId="7" borderId="12" xfId="24" applyNumberFormat="1" applyFont="1" applyFill="1" applyBorder="1" applyAlignment="1" applyProtection="1">
      <alignment horizontal="center" vertical="top"/>
    </xf>
    <xf numFmtId="0" fontId="55" fillId="7" borderId="12" xfId="22" applyFont="1" applyFill="1" applyBorder="1" applyAlignment="1">
      <alignment horizontal="center" wrapText="1"/>
    </xf>
    <xf numFmtId="0" fontId="57" fillId="0" borderId="21" xfId="22" applyFont="1" applyBorder="1" applyAlignment="1">
      <alignment horizontal="right"/>
    </xf>
    <xf numFmtId="0" fontId="55" fillId="0" borderId="17" xfId="22" applyFont="1" applyBorder="1" applyAlignment="1">
      <alignment horizontal="left"/>
    </xf>
    <xf numFmtId="0" fontId="55" fillId="0" borderId="7" xfId="22" applyFont="1" applyBorder="1" applyAlignment="1">
      <alignment horizontal="left"/>
    </xf>
    <xf numFmtId="0" fontId="71" fillId="7" borderId="21" xfId="22" applyFont="1" applyFill="1" applyBorder="1" applyAlignment="1">
      <alignment horizontal="right"/>
    </xf>
    <xf numFmtId="0" fontId="64" fillId="0" borderId="17" xfId="22" applyFont="1" applyBorder="1" applyAlignment="1">
      <alignment horizontal="left" vertical="top" wrapText="1"/>
    </xf>
    <xf numFmtId="0" fontId="64" fillId="0" borderId="7" xfId="22" applyFont="1" applyBorder="1" applyAlignment="1">
      <alignment horizontal="left" vertical="top" wrapText="1"/>
    </xf>
    <xf numFmtId="0" fontId="64" fillId="0" borderId="18" xfId="22" applyFont="1" applyBorder="1" applyAlignment="1">
      <alignment horizontal="left" vertical="top" wrapText="1"/>
    </xf>
    <xf numFmtId="167" fontId="58" fillId="14" borderId="17" xfId="24" applyNumberFormat="1" applyFont="1" applyFill="1" applyBorder="1" applyAlignment="1" applyProtection="1">
      <alignment horizontal="right" vertical="top"/>
    </xf>
    <xf numFmtId="167" fontId="58" fillId="14" borderId="7" xfId="24" applyNumberFormat="1" applyFont="1" applyFill="1" applyBorder="1" applyAlignment="1" applyProtection="1">
      <alignment horizontal="right" vertical="top"/>
    </xf>
    <xf numFmtId="167" fontId="58" fillId="14" borderId="18" xfId="24" applyNumberFormat="1" applyFont="1" applyFill="1" applyBorder="1" applyAlignment="1" applyProtection="1">
      <alignment horizontal="right" vertical="top"/>
    </xf>
    <xf numFmtId="0" fontId="58" fillId="14" borderId="17" xfId="22" applyFont="1" applyFill="1" applyBorder="1" applyAlignment="1">
      <alignment horizontal="right" vertical="top"/>
    </xf>
    <xf numFmtId="0" fontId="58" fillId="14" borderId="7" xfId="22" applyFont="1" applyFill="1" applyBorder="1" applyAlignment="1">
      <alignment horizontal="right" vertical="top"/>
    </xf>
    <xf numFmtId="0" fontId="58" fillId="14" borderId="18" xfId="22" applyFont="1" applyFill="1" applyBorder="1" applyAlignment="1">
      <alignment horizontal="right" vertical="top"/>
    </xf>
    <xf numFmtId="0" fontId="59" fillId="14" borderId="17" xfId="22" applyFont="1" applyFill="1" applyBorder="1" applyAlignment="1">
      <alignment horizontal="right" vertical="top"/>
    </xf>
    <xf numFmtId="0" fontId="59" fillId="14" borderId="7" xfId="22" applyFont="1" applyFill="1" applyBorder="1" applyAlignment="1">
      <alignment horizontal="right" vertical="top"/>
    </xf>
    <xf numFmtId="0" fontId="59" fillId="14" borderId="18" xfId="22" applyFont="1" applyFill="1" applyBorder="1" applyAlignment="1">
      <alignment horizontal="right" vertical="top"/>
    </xf>
    <xf numFmtId="0" fontId="13" fillId="0" borderId="0" xfId="0" applyFont="1" applyProtection="1">
      <protection locked="0"/>
    </xf>
    <xf numFmtId="0" fontId="11" fillId="0" borderId="0" xfId="0" applyFont="1" applyProtection="1">
      <protection locked="0"/>
    </xf>
    <xf numFmtId="0" fontId="0" fillId="0" borderId="0" xfId="0" applyProtection="1">
      <protection locked="0"/>
    </xf>
    <xf numFmtId="0" fontId="15" fillId="3" borderId="0" xfId="0" applyFont="1" applyFill="1" applyProtection="1">
      <protection locked="0"/>
    </xf>
    <xf numFmtId="0" fontId="13" fillId="3" borderId="0" xfId="0" applyFont="1" applyFill="1" applyProtection="1">
      <protection locked="0"/>
    </xf>
    <xf numFmtId="0" fontId="13" fillId="0" borderId="8" xfId="0" applyFont="1" applyBorder="1" applyAlignment="1" applyProtection="1">
      <alignment horizontal="center" vertical="top" wrapText="1"/>
      <protection locked="0"/>
    </xf>
    <xf numFmtId="0" fontId="13" fillId="0" borderId="9" xfId="0" applyFont="1" applyBorder="1" applyAlignment="1" applyProtection="1">
      <alignment horizontal="center" vertical="top" wrapText="1"/>
      <protection locked="0"/>
    </xf>
    <xf numFmtId="42" fontId="13" fillId="3" borderId="14" xfId="0" applyNumberFormat="1" applyFont="1" applyFill="1" applyBorder="1" applyAlignment="1" applyProtection="1">
      <alignment horizontal="right" vertical="top"/>
      <protection locked="0"/>
    </xf>
    <xf numFmtId="42" fontId="13" fillId="3" borderId="5" xfId="0" applyNumberFormat="1" applyFont="1" applyFill="1" applyBorder="1" applyAlignment="1" applyProtection="1">
      <alignment horizontal="right" vertical="top"/>
      <protection locked="0"/>
    </xf>
    <xf numFmtId="42" fontId="13" fillId="3" borderId="11" xfId="0" applyNumberFormat="1" applyFont="1" applyFill="1" applyBorder="1" applyAlignment="1" applyProtection="1">
      <alignment horizontal="right" vertical="top"/>
      <protection locked="0"/>
    </xf>
    <xf numFmtId="0" fontId="12" fillId="0" borderId="15" xfId="0" applyFont="1" applyBorder="1" applyProtection="1">
      <protection locked="0"/>
    </xf>
    <xf numFmtId="0" fontId="11" fillId="0" borderId="15" xfId="0" applyFont="1" applyBorder="1" applyProtection="1">
      <protection locked="0"/>
    </xf>
    <xf numFmtId="0" fontId="11" fillId="0" borderId="16" xfId="0" applyFont="1" applyBorder="1" applyAlignment="1" applyProtection="1">
      <alignment horizontal="center" vertical="top" wrapText="1"/>
      <protection locked="0"/>
    </xf>
    <xf numFmtId="0" fontId="13" fillId="0" borderId="0" xfId="0" applyFont="1" applyAlignment="1" applyProtection="1">
      <alignment horizontal="center"/>
      <protection locked="0"/>
    </xf>
    <xf numFmtId="0" fontId="4" fillId="0" borderId="0" xfId="0" applyFont="1" applyAlignment="1">
      <alignment horizontal="left" vertical="top" wrapText="1"/>
    </xf>
    <xf numFmtId="0" fontId="0" fillId="0" borderId="0" xfId="0" applyAlignment="1">
      <alignment horizontal="left" vertical="top" wrapText="1"/>
    </xf>
    <xf numFmtId="0" fontId="4" fillId="0" borderId="0" xfId="0" applyFont="1" applyAlignment="1">
      <alignment horizontal="left" vertical="top"/>
    </xf>
    <xf numFmtId="164" fontId="58" fillId="14" borderId="12" xfId="12" applyNumberFormat="1" applyFont="1" applyFill="1" applyBorder="1" applyAlignment="1" applyProtection="1">
      <alignment horizontal="right"/>
    </xf>
    <xf numFmtId="164" fontId="58" fillId="14" borderId="19" xfId="22" applyNumberFormat="1" applyFont="1" applyFill="1" applyBorder="1" applyAlignment="1">
      <alignment horizontal="right"/>
    </xf>
  </cellXfs>
  <cellStyles count="29">
    <cellStyle name="Comma" xfId="12" builtinId="3"/>
    <cellStyle name="Currency" xfId="1" builtinId="4"/>
    <cellStyle name="Currency 8" xfId="2" xr:uid="{00000000-0005-0000-0000-000001000000}"/>
    <cellStyle name="Currency 8 2" xfId="3" xr:uid="{00000000-0005-0000-0000-000002000000}"/>
    <cellStyle name="Currency 8 2 2" xfId="21" xr:uid="{56038EF5-1F47-43CE-ADBA-52BA9FDF4890}"/>
    <cellStyle name="Currency 8 2 2 2" xfId="27" xr:uid="{A72D4D4C-DBEE-457D-AF4E-43D8238A1CFC}"/>
    <cellStyle name="Currency 8 3" xfId="18" xr:uid="{BAE20E72-7D3D-45DE-B41B-144123B10422}"/>
    <cellStyle name="Currency 8 3 2" xfId="24" xr:uid="{DB1BBCC5-7E51-41A8-8541-3251874BC38E}"/>
    <cellStyle name="Hyperlink" xfId="4" builtinId="8"/>
    <cellStyle name="Normal" xfId="0" builtinId="0"/>
    <cellStyle name="Normal 19" xfId="5" xr:uid="{00000000-0005-0000-0000-000005000000}"/>
    <cellStyle name="Normal 19 2" xfId="6" xr:uid="{00000000-0005-0000-0000-000006000000}"/>
    <cellStyle name="Normal 19 2 2" xfId="16" xr:uid="{6FEF0BE6-DF0D-4095-918C-F7B9EEE41D81}"/>
    <cellStyle name="Normal 19 2 2 2" xfId="23" xr:uid="{BE609F96-8A5A-4D7C-B312-A8994B1005E0}"/>
    <cellStyle name="Normal 19 3" xfId="13" xr:uid="{5665C557-4DD5-4664-A402-968075A9ED94}"/>
    <cellStyle name="Normal 19 3 2" xfId="22" xr:uid="{2EFE273D-3C3B-450D-8D6D-35432EB5CD69}"/>
    <cellStyle name="Normal 19 3 2 3" xfId="28" xr:uid="{BB195C77-2A87-4F80-9D07-D5BDCB577C8F}"/>
    <cellStyle name="Normal 2" xfId="7" xr:uid="{00000000-0005-0000-0000-000007000000}"/>
    <cellStyle name="Normal 2 2" xfId="17" xr:uid="{E1B54A67-E5F5-4142-9E6F-DB08912C8661}"/>
    <cellStyle name="Normal 3" xfId="15" xr:uid="{95DE025F-5C46-4DA8-A4DE-8F376F125B9A}"/>
    <cellStyle name="Percent" xfId="8" builtinId="5"/>
    <cellStyle name="Percent 2" xfId="9" xr:uid="{00000000-0005-0000-0000-000009000000}"/>
    <cellStyle name="Percent 2 2" xfId="14" xr:uid="{54131C84-BA76-4E8D-BB98-E54381C3EB48}"/>
    <cellStyle name="Percent 3" xfId="10" xr:uid="{00000000-0005-0000-0000-00000A000000}"/>
    <cellStyle name="Percent 3 2" xfId="11" xr:uid="{00000000-0005-0000-0000-00000B000000}"/>
    <cellStyle name="Percent 3 2 2" xfId="20" xr:uid="{B0FF26AE-13C8-4AD3-BA3D-D19C4E5C12FF}"/>
    <cellStyle name="Percent 3 2 2 2" xfId="26" xr:uid="{DDAA72C6-BA3F-4043-9D43-45D9050D29A8}"/>
    <cellStyle name="Percent 3 3" xfId="19" xr:uid="{81ED8E59-72DC-4C9D-B915-09B43253B205}"/>
    <cellStyle name="Percent 3 3 2" xfId="25" xr:uid="{042A3794-8D7A-4193-9112-BFF57FC9B78A}"/>
  </cellStyles>
  <dxfs count="45">
    <dxf>
      <font>
        <b/>
        <i val="0"/>
        <color rgb="FFFF0000"/>
      </font>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ont>
        <b/>
        <i val="0"/>
        <color rgb="FFFF0000"/>
      </font>
    </dxf>
    <dxf>
      <font>
        <b/>
        <i val="0"/>
        <color rgb="FFFF0000"/>
      </font>
    </dxf>
    <dxf>
      <font>
        <b/>
        <i val="0"/>
        <color rgb="FFFF0000"/>
      </font>
    </dxf>
  </dxfs>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142875</xdr:rowOff>
    </xdr:from>
    <xdr:to>
      <xdr:col>11</xdr:col>
      <xdr:colOff>0</xdr:colOff>
      <xdr:row>11</xdr:row>
      <xdr:rowOff>19050</xdr:rowOff>
    </xdr:to>
    <xdr:pic>
      <xdr:nvPicPr>
        <xdr:cNvPr id="9804" name="Picture 1">
          <a:extLst>
            <a:ext uri="{FF2B5EF4-FFF2-40B4-BE49-F238E27FC236}">
              <a16:creationId xmlns:a16="http://schemas.microsoft.com/office/drawing/2014/main" id="{4065FB22-EF88-4411-A995-33549D573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1209675"/>
          <a:ext cx="60960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15</xdr:row>
      <xdr:rowOff>19050</xdr:rowOff>
    </xdr:from>
    <xdr:to>
      <xdr:col>10</xdr:col>
      <xdr:colOff>600075</xdr:colOff>
      <xdr:row>20</xdr:row>
      <xdr:rowOff>66675</xdr:rowOff>
    </xdr:to>
    <xdr:pic>
      <xdr:nvPicPr>
        <xdr:cNvPr id="9805" name="Picture 2">
          <a:extLst>
            <a:ext uri="{FF2B5EF4-FFF2-40B4-BE49-F238E27FC236}">
              <a16:creationId xmlns:a16="http://schemas.microsoft.com/office/drawing/2014/main" id="{8F186F39-0C63-41A5-8867-60379083BC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0575" y="2543175"/>
          <a:ext cx="60674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133350</xdr:colOff>
      <xdr:row>19</xdr:row>
      <xdr:rowOff>28575</xdr:rowOff>
    </xdr:from>
    <xdr:to>
      <xdr:col>2</xdr:col>
      <xdr:colOff>90488</xdr:colOff>
      <xdr:row>20</xdr:row>
      <xdr:rowOff>47625</xdr:rowOff>
    </xdr:to>
    <xdr:sp macro="" textlink="">
      <xdr:nvSpPr>
        <xdr:cNvPr id="4" name="Rectangle 3">
          <a:extLst>
            <a:ext uri="{FF2B5EF4-FFF2-40B4-BE49-F238E27FC236}">
              <a16:creationId xmlns:a16="http://schemas.microsoft.com/office/drawing/2014/main" id="{AD6B6C44-6A09-401E-A389-8FB873518BEA}"/>
            </a:ext>
          </a:extLst>
        </xdr:cNvPr>
        <xdr:cNvSpPr/>
      </xdr:nvSpPr>
      <xdr:spPr>
        <a:xfrm>
          <a:off x="904875" y="3524250"/>
          <a:ext cx="571500"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27</xdr:row>
      <xdr:rowOff>19050</xdr:rowOff>
    </xdr:from>
    <xdr:to>
      <xdr:col>11</xdr:col>
      <xdr:colOff>0</xdr:colOff>
      <xdr:row>35</xdr:row>
      <xdr:rowOff>104775</xdr:rowOff>
    </xdr:to>
    <xdr:pic>
      <xdr:nvPicPr>
        <xdr:cNvPr id="9807" name="Picture 4">
          <a:extLst>
            <a:ext uri="{FF2B5EF4-FFF2-40B4-BE49-F238E27FC236}">
              <a16:creationId xmlns:a16="http://schemas.microsoft.com/office/drawing/2014/main" id="{EBD71AE0-58C6-412A-AE2B-5B7F923923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1525" y="4486275"/>
          <a:ext cx="60960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41</xdr:row>
      <xdr:rowOff>0</xdr:rowOff>
    </xdr:from>
    <xdr:to>
      <xdr:col>10</xdr:col>
      <xdr:colOff>600075</xdr:colOff>
      <xdr:row>49</xdr:row>
      <xdr:rowOff>85725</xdr:rowOff>
    </xdr:to>
    <xdr:pic>
      <xdr:nvPicPr>
        <xdr:cNvPr id="9808" name="Picture 5">
          <a:extLst>
            <a:ext uri="{FF2B5EF4-FFF2-40B4-BE49-F238E27FC236}">
              <a16:creationId xmlns:a16="http://schemas.microsoft.com/office/drawing/2014/main" id="{78720E6B-642D-495D-A435-7FB4CCD1BEA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1525" y="6734175"/>
          <a:ext cx="608647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59</xdr:row>
      <xdr:rowOff>0</xdr:rowOff>
    </xdr:from>
    <xdr:to>
      <xdr:col>10</xdr:col>
      <xdr:colOff>590550</xdr:colOff>
      <xdr:row>63</xdr:row>
      <xdr:rowOff>47625</xdr:rowOff>
    </xdr:to>
    <xdr:pic>
      <xdr:nvPicPr>
        <xdr:cNvPr id="9809" name="Picture 6">
          <a:extLst>
            <a:ext uri="{FF2B5EF4-FFF2-40B4-BE49-F238E27FC236}">
              <a16:creationId xmlns:a16="http://schemas.microsoft.com/office/drawing/2014/main" id="{19CF3958-26F4-4668-9D6C-A121957B571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90575" y="9677400"/>
          <a:ext cx="60579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xdr:row>
      <xdr:rowOff>0</xdr:rowOff>
    </xdr:from>
    <xdr:to>
      <xdr:col>11</xdr:col>
      <xdr:colOff>0</xdr:colOff>
      <xdr:row>79</xdr:row>
      <xdr:rowOff>38100</xdr:rowOff>
    </xdr:to>
    <xdr:pic>
      <xdr:nvPicPr>
        <xdr:cNvPr id="9810" name="Picture 7">
          <a:extLst>
            <a:ext uri="{FF2B5EF4-FFF2-40B4-BE49-F238E27FC236}">
              <a16:creationId xmlns:a16="http://schemas.microsoft.com/office/drawing/2014/main" id="{55ED6F19-603C-468F-A306-1F44894BE96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71525" y="11001375"/>
          <a:ext cx="6096000"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142875</xdr:colOff>
      <xdr:row>77</xdr:row>
      <xdr:rowOff>104775</xdr:rowOff>
    </xdr:from>
    <xdr:to>
      <xdr:col>2</xdr:col>
      <xdr:colOff>540820</xdr:colOff>
      <xdr:row>78</xdr:row>
      <xdr:rowOff>123825</xdr:rowOff>
    </xdr:to>
    <xdr:sp macro="" textlink="">
      <xdr:nvSpPr>
        <xdr:cNvPr id="9" name="Rectangle 8">
          <a:extLst>
            <a:ext uri="{FF2B5EF4-FFF2-40B4-BE49-F238E27FC236}">
              <a16:creationId xmlns:a16="http://schemas.microsoft.com/office/drawing/2014/main" id="{C04D43FD-6D17-436E-B7EF-C457CEF4629F}"/>
            </a:ext>
          </a:extLst>
        </xdr:cNvPr>
        <xdr:cNvSpPr/>
      </xdr:nvSpPr>
      <xdr:spPr>
        <a:xfrm>
          <a:off x="914400" y="12725400"/>
          <a:ext cx="1012190"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88</xdr:row>
      <xdr:rowOff>28575</xdr:rowOff>
    </xdr:from>
    <xdr:to>
      <xdr:col>11</xdr:col>
      <xdr:colOff>38100</xdr:colOff>
      <xdr:row>106</xdr:row>
      <xdr:rowOff>104775</xdr:rowOff>
    </xdr:to>
    <xdr:pic>
      <xdr:nvPicPr>
        <xdr:cNvPr id="9812" name="Picture 10">
          <a:extLst>
            <a:ext uri="{FF2B5EF4-FFF2-40B4-BE49-F238E27FC236}">
              <a16:creationId xmlns:a16="http://schemas.microsoft.com/office/drawing/2014/main" id="{802F244E-0396-4DBA-B624-5D332D47E5A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71525" y="14525625"/>
          <a:ext cx="6134100" cy="299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112</xdr:row>
      <xdr:rowOff>0</xdr:rowOff>
    </xdr:from>
    <xdr:to>
      <xdr:col>11</xdr:col>
      <xdr:colOff>66675</xdr:colOff>
      <xdr:row>129</xdr:row>
      <xdr:rowOff>57150</xdr:rowOff>
    </xdr:to>
    <xdr:pic>
      <xdr:nvPicPr>
        <xdr:cNvPr id="9813" name="Picture 11">
          <a:extLst>
            <a:ext uri="{FF2B5EF4-FFF2-40B4-BE49-F238E27FC236}">
              <a16:creationId xmlns:a16="http://schemas.microsoft.com/office/drawing/2014/main" id="{DE26330F-C2CC-45F3-94D6-F128CD6ECDF5}"/>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90575" y="18383250"/>
          <a:ext cx="6143625" cy="280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53738</xdr:colOff>
      <xdr:row>98</xdr:row>
      <xdr:rowOff>0</xdr:rowOff>
    </xdr:from>
    <xdr:to>
      <xdr:col>3</xdr:col>
      <xdr:colOff>72629</xdr:colOff>
      <xdr:row>99</xdr:row>
      <xdr:rowOff>19050</xdr:rowOff>
    </xdr:to>
    <xdr:sp macro="" textlink="">
      <xdr:nvSpPr>
        <xdr:cNvPr id="13" name="Rectangle 12">
          <a:extLst>
            <a:ext uri="{FF2B5EF4-FFF2-40B4-BE49-F238E27FC236}">
              <a16:creationId xmlns:a16="http://schemas.microsoft.com/office/drawing/2014/main" id="{734CA7F7-EE8E-4251-A53C-EAC8AA95441C}"/>
            </a:ext>
          </a:extLst>
        </xdr:cNvPr>
        <xdr:cNvSpPr/>
      </xdr:nvSpPr>
      <xdr:spPr>
        <a:xfrm>
          <a:off x="1439625" y="16116300"/>
          <a:ext cx="628491"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5</xdr:col>
      <xdr:colOff>417599</xdr:colOff>
      <xdr:row>125</xdr:row>
      <xdr:rowOff>476</xdr:rowOff>
    </xdr:from>
    <xdr:to>
      <xdr:col>6</xdr:col>
      <xdr:colOff>504138</xdr:colOff>
      <xdr:row>126</xdr:row>
      <xdr:rowOff>37624</xdr:rowOff>
    </xdr:to>
    <xdr:sp macro="" textlink="">
      <xdr:nvSpPr>
        <xdr:cNvPr id="14" name="Rectangle 13">
          <a:extLst>
            <a:ext uri="{FF2B5EF4-FFF2-40B4-BE49-F238E27FC236}">
              <a16:creationId xmlns:a16="http://schemas.microsoft.com/office/drawing/2014/main" id="{F8BEFC2F-E755-426F-A728-2FBB36D789DC}"/>
            </a:ext>
          </a:extLst>
        </xdr:cNvPr>
        <xdr:cNvSpPr/>
      </xdr:nvSpPr>
      <xdr:spPr>
        <a:xfrm>
          <a:off x="3627524" y="20488751"/>
          <a:ext cx="691340" cy="19907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771525</xdr:colOff>
      <xdr:row>134</xdr:row>
      <xdr:rowOff>0</xdr:rowOff>
    </xdr:from>
    <xdr:to>
      <xdr:col>10</xdr:col>
      <xdr:colOff>600075</xdr:colOff>
      <xdr:row>154</xdr:row>
      <xdr:rowOff>0</xdr:rowOff>
    </xdr:to>
    <xdr:pic>
      <xdr:nvPicPr>
        <xdr:cNvPr id="9816" name="Picture 14">
          <a:extLst>
            <a:ext uri="{FF2B5EF4-FFF2-40B4-BE49-F238E27FC236}">
              <a16:creationId xmlns:a16="http://schemas.microsoft.com/office/drawing/2014/main" id="{8667C4D0-73C5-44C7-9339-48289CABC1E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71525" y="21945600"/>
          <a:ext cx="6086475"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233246</xdr:colOff>
      <xdr:row>152</xdr:row>
      <xdr:rowOff>66199</xdr:rowOff>
    </xdr:from>
    <xdr:to>
      <xdr:col>9</xdr:col>
      <xdr:colOff>543629</xdr:colOff>
      <xdr:row>153</xdr:row>
      <xdr:rowOff>85249</xdr:rowOff>
    </xdr:to>
    <xdr:sp macro="" textlink="">
      <xdr:nvSpPr>
        <xdr:cNvPr id="16" name="Rectangle 15">
          <a:extLst>
            <a:ext uri="{FF2B5EF4-FFF2-40B4-BE49-F238E27FC236}">
              <a16:creationId xmlns:a16="http://schemas.microsoft.com/office/drawing/2014/main" id="{42E6E18A-E477-4415-8A56-AC64F21CDDC7}"/>
            </a:ext>
          </a:extLst>
        </xdr:cNvPr>
        <xdr:cNvSpPr/>
      </xdr:nvSpPr>
      <xdr:spPr>
        <a:xfrm>
          <a:off x="5276733" y="24926449"/>
          <a:ext cx="920173"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19050</xdr:colOff>
      <xdr:row>162</xdr:row>
      <xdr:rowOff>0</xdr:rowOff>
    </xdr:from>
    <xdr:to>
      <xdr:col>10</xdr:col>
      <xdr:colOff>600075</xdr:colOff>
      <xdr:row>183</xdr:row>
      <xdr:rowOff>66675</xdr:rowOff>
    </xdr:to>
    <xdr:pic>
      <xdr:nvPicPr>
        <xdr:cNvPr id="9818" name="Picture 16">
          <a:extLst>
            <a:ext uri="{FF2B5EF4-FFF2-40B4-BE49-F238E27FC236}">
              <a16:creationId xmlns:a16="http://schemas.microsoft.com/office/drawing/2014/main" id="{55A90B38-B2EB-4A59-850D-1616C1D70BDA}"/>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90575" y="26508075"/>
          <a:ext cx="6067425" cy="346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560178</xdr:colOff>
      <xdr:row>181</xdr:row>
      <xdr:rowOff>122526</xdr:rowOff>
    </xdr:from>
    <xdr:to>
      <xdr:col>3</xdr:col>
      <xdr:colOff>593497</xdr:colOff>
      <xdr:row>182</xdr:row>
      <xdr:rowOff>125124</xdr:rowOff>
    </xdr:to>
    <xdr:sp macro="" textlink="">
      <xdr:nvSpPr>
        <xdr:cNvPr id="18" name="Rectangle 17">
          <a:extLst>
            <a:ext uri="{FF2B5EF4-FFF2-40B4-BE49-F238E27FC236}">
              <a16:creationId xmlns:a16="http://schemas.microsoft.com/office/drawing/2014/main" id="{B0FC0B8B-C317-4A33-B23A-4F1C292C086A}"/>
            </a:ext>
          </a:extLst>
        </xdr:cNvPr>
        <xdr:cNvSpPr/>
      </xdr:nvSpPr>
      <xdr:spPr>
        <a:xfrm>
          <a:off x="1946065" y="29707176"/>
          <a:ext cx="628491" cy="16452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190</xdr:row>
      <xdr:rowOff>0</xdr:rowOff>
    </xdr:from>
    <xdr:to>
      <xdr:col>11</xdr:col>
      <xdr:colOff>0</xdr:colOff>
      <xdr:row>200</xdr:row>
      <xdr:rowOff>0</xdr:rowOff>
    </xdr:to>
    <xdr:pic>
      <xdr:nvPicPr>
        <xdr:cNvPr id="9820" name="Picture 19">
          <a:extLst>
            <a:ext uri="{FF2B5EF4-FFF2-40B4-BE49-F238E27FC236}">
              <a16:creationId xmlns:a16="http://schemas.microsoft.com/office/drawing/2014/main" id="{0025DE20-137D-4ECC-9B7B-6ECBF6CCE78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71525" y="31070550"/>
          <a:ext cx="6096000"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100006</xdr:colOff>
      <xdr:row>198</xdr:row>
      <xdr:rowOff>76200</xdr:rowOff>
    </xdr:from>
    <xdr:to>
      <xdr:col>7</xdr:col>
      <xdr:colOff>61761</xdr:colOff>
      <xdr:row>199</xdr:row>
      <xdr:rowOff>78798</xdr:rowOff>
    </xdr:to>
    <xdr:sp macro="" textlink="">
      <xdr:nvSpPr>
        <xdr:cNvPr id="21" name="Rectangle 20">
          <a:extLst>
            <a:ext uri="{FF2B5EF4-FFF2-40B4-BE49-F238E27FC236}">
              <a16:creationId xmlns:a16="http://schemas.microsoft.com/office/drawing/2014/main" id="{B22A9A32-BF7E-4005-8AD5-AF82D23DC981}"/>
            </a:ext>
          </a:extLst>
        </xdr:cNvPr>
        <xdr:cNvSpPr/>
      </xdr:nvSpPr>
      <xdr:spPr>
        <a:xfrm>
          <a:off x="3924293" y="32442150"/>
          <a:ext cx="571355" cy="16452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771525</xdr:colOff>
      <xdr:row>203</xdr:row>
      <xdr:rowOff>0</xdr:rowOff>
    </xdr:from>
    <xdr:to>
      <xdr:col>11</xdr:col>
      <xdr:colOff>9525</xdr:colOff>
      <xdr:row>207</xdr:row>
      <xdr:rowOff>19050</xdr:rowOff>
    </xdr:to>
    <xdr:pic>
      <xdr:nvPicPr>
        <xdr:cNvPr id="9822" name="Picture 21">
          <a:extLst>
            <a:ext uri="{FF2B5EF4-FFF2-40B4-BE49-F238E27FC236}">
              <a16:creationId xmlns:a16="http://schemas.microsoft.com/office/drawing/2014/main" id="{8A2BD18F-6AB7-4ED9-B2C0-375305B57A8F}"/>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71525" y="33175575"/>
          <a:ext cx="61055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210</xdr:row>
      <xdr:rowOff>0</xdr:rowOff>
    </xdr:from>
    <xdr:to>
      <xdr:col>10</xdr:col>
      <xdr:colOff>600075</xdr:colOff>
      <xdr:row>217</xdr:row>
      <xdr:rowOff>95250</xdr:rowOff>
    </xdr:to>
    <xdr:pic>
      <xdr:nvPicPr>
        <xdr:cNvPr id="9823" name="Picture 22">
          <a:extLst>
            <a:ext uri="{FF2B5EF4-FFF2-40B4-BE49-F238E27FC236}">
              <a16:creationId xmlns:a16="http://schemas.microsoft.com/office/drawing/2014/main" id="{A78D97A3-C8EE-4611-84E7-C5C4DAC4CB6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71525" y="34309050"/>
          <a:ext cx="60864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222</xdr:row>
      <xdr:rowOff>0</xdr:rowOff>
    </xdr:from>
    <xdr:to>
      <xdr:col>11</xdr:col>
      <xdr:colOff>9525</xdr:colOff>
      <xdr:row>230</xdr:row>
      <xdr:rowOff>76200</xdr:rowOff>
    </xdr:to>
    <xdr:pic>
      <xdr:nvPicPr>
        <xdr:cNvPr id="9824" name="Picture 24">
          <a:extLst>
            <a:ext uri="{FF2B5EF4-FFF2-40B4-BE49-F238E27FC236}">
              <a16:creationId xmlns:a16="http://schemas.microsoft.com/office/drawing/2014/main" id="{8180DF38-622B-4F6E-9996-BC546D435EC4}"/>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81050" y="36252150"/>
          <a:ext cx="6096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6" totalsRowShown="0">
  <autoFilter ref="A1:A6" xr:uid="{00000000-0009-0000-0100-000001000000}"/>
  <tableColumns count="1">
    <tableColumn id="1" xr3:uid="{00000000-0010-0000-0000-000001000000}" name="Position Type?"/>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36578-131F-4398-9928-E899944CD983}">
  <sheetPr>
    <pageSetUpPr fitToPage="1"/>
  </sheetPr>
  <dimension ref="A1:P717"/>
  <sheetViews>
    <sheetView topLeftCell="A659" zoomScale="115" zoomScaleNormal="115" workbookViewId="0">
      <selection activeCell="G689" sqref="G689"/>
    </sheetView>
  </sheetViews>
  <sheetFormatPr defaultColWidth="5.5703125" defaultRowHeight="11.25" x14ac:dyDescent="0.2"/>
  <cols>
    <col min="1" max="1" width="7" style="75" customWidth="1"/>
    <col min="2" max="2" width="28.28515625" style="75" customWidth="1"/>
    <col min="3" max="3" width="12.42578125" style="75" bestFit="1" customWidth="1"/>
    <col min="4" max="4" width="11.7109375" style="75" bestFit="1" customWidth="1"/>
    <col min="5" max="5" width="12" style="75" bestFit="1" customWidth="1"/>
    <col min="6" max="6" width="12.42578125" style="75" bestFit="1" customWidth="1"/>
    <col min="7" max="7" width="19" style="75" customWidth="1"/>
    <col min="8" max="8" width="12" style="75" customWidth="1"/>
    <col min="9" max="9" width="12.5703125" style="107" customWidth="1"/>
    <col min="10" max="10" width="23.42578125" style="124" customWidth="1"/>
    <col min="11" max="11" width="16.140625" style="75" customWidth="1"/>
    <col min="12" max="12" width="13.28515625" style="75" bestFit="1" customWidth="1"/>
    <col min="13" max="13" width="21.7109375" style="75" bestFit="1" customWidth="1"/>
    <col min="14" max="14" width="12" style="75" bestFit="1" customWidth="1"/>
    <col min="15" max="16384" width="5.5703125" style="75"/>
  </cols>
  <sheetData>
    <row r="1" spans="1:11" x14ac:dyDescent="0.2">
      <c r="A1" s="47"/>
      <c r="B1" s="1020" t="s">
        <v>0</v>
      </c>
      <c r="C1" s="1020"/>
      <c r="D1" s="1020"/>
      <c r="E1" s="1020"/>
      <c r="F1" s="1020"/>
      <c r="G1" s="1020"/>
      <c r="H1" s="1020"/>
      <c r="I1" s="1020"/>
      <c r="J1" s="1020"/>
      <c r="K1" s="78"/>
    </row>
    <row r="2" spans="1:11" ht="24.4" customHeight="1" x14ac:dyDescent="0.2">
      <c r="A2" s="47"/>
      <c r="B2" s="1021" t="s">
        <v>1</v>
      </c>
      <c r="C2" s="1021"/>
      <c r="D2" s="1021"/>
      <c r="E2" s="1021"/>
      <c r="F2" s="1021"/>
      <c r="G2" s="1021"/>
      <c r="H2" s="1021"/>
      <c r="I2" s="1021"/>
      <c r="J2" s="1021"/>
      <c r="K2" s="78"/>
    </row>
    <row r="3" spans="1:11" x14ac:dyDescent="0.2">
      <c r="A3" s="47"/>
      <c r="B3" s="1022" t="s">
        <v>2</v>
      </c>
      <c r="C3" s="1022"/>
      <c r="D3" s="1022"/>
      <c r="E3" s="1022"/>
      <c r="F3" s="1022"/>
      <c r="G3" s="1022"/>
      <c r="H3" s="1022"/>
      <c r="I3" s="1022"/>
      <c r="J3" s="1022"/>
      <c r="K3" s="78"/>
    </row>
    <row r="4" spans="1:11" x14ac:dyDescent="0.2">
      <c r="A4" s="47"/>
      <c r="B4" s="1026" t="s">
        <v>3</v>
      </c>
      <c r="C4" s="1026"/>
      <c r="D4" s="1026"/>
      <c r="E4" s="1026"/>
      <c r="F4" s="1026"/>
      <c r="G4" s="1026"/>
      <c r="H4" s="1026"/>
      <c r="I4" s="1026"/>
      <c r="J4" s="125">
        <f>ROUND(SUM(H5:H319),0)</f>
        <v>21030471</v>
      </c>
      <c r="K4" s="76"/>
    </row>
    <row r="5" spans="1:11" x14ac:dyDescent="0.2">
      <c r="A5" s="47"/>
      <c r="B5" s="126"/>
      <c r="C5" s="127"/>
      <c r="D5" s="127"/>
      <c r="E5" s="48"/>
      <c r="F5" s="127"/>
      <c r="G5" s="127"/>
      <c r="H5" s="128"/>
      <c r="I5" s="129"/>
      <c r="J5" s="130"/>
      <c r="K5" s="76"/>
    </row>
    <row r="6" spans="1:11" ht="22.5" x14ac:dyDescent="0.2">
      <c r="A6" s="47"/>
      <c r="B6" s="131" t="s">
        <v>4</v>
      </c>
      <c r="C6" s="49" t="s">
        <v>5</v>
      </c>
      <c r="D6" s="49" t="s">
        <v>6</v>
      </c>
      <c r="E6" s="50" t="s">
        <v>7</v>
      </c>
      <c r="F6" s="131" t="s">
        <v>8</v>
      </c>
      <c r="G6" s="51" t="s">
        <v>9</v>
      </c>
      <c r="H6" s="51" t="s">
        <v>10</v>
      </c>
      <c r="I6" s="51" t="s">
        <v>11</v>
      </c>
      <c r="J6" s="132" t="s">
        <v>12</v>
      </c>
    </row>
    <row r="7" spans="1:11" ht="22.5" x14ac:dyDescent="0.2">
      <c r="A7" s="47" t="s">
        <v>13</v>
      </c>
      <c r="B7" s="133" t="s">
        <v>14</v>
      </c>
      <c r="C7" s="89">
        <v>60777.599999999999</v>
      </c>
      <c r="D7" s="53">
        <v>0.42499999999999999</v>
      </c>
      <c r="E7" s="54">
        <v>1</v>
      </c>
      <c r="F7" s="55">
        <v>1</v>
      </c>
      <c r="G7" s="56">
        <f>F7/12</f>
        <v>8.3333333333333329E-2</v>
      </c>
      <c r="H7" s="57">
        <f>ROUND(C7*(1+D7)*E7*G7,0)</f>
        <v>7217</v>
      </c>
      <c r="I7" s="134" t="s">
        <v>15</v>
      </c>
      <c r="J7" s="132" t="s">
        <v>16</v>
      </c>
    </row>
    <row r="8" spans="1:11" x14ac:dyDescent="0.2">
      <c r="A8" s="47" t="s">
        <v>17</v>
      </c>
      <c r="B8" s="135" t="s">
        <v>17</v>
      </c>
      <c r="C8" s="89">
        <v>64424</v>
      </c>
      <c r="D8" s="53">
        <v>0.42499999999999999</v>
      </c>
      <c r="E8" s="54">
        <v>1</v>
      </c>
      <c r="F8" s="55">
        <v>12</v>
      </c>
      <c r="G8" s="56">
        <f>F8/12</f>
        <v>1</v>
      </c>
      <c r="H8" s="57">
        <f>ROUND(C8*(1+D8)*E8*G8,0)</f>
        <v>91804</v>
      </c>
      <c r="I8" s="134" t="s">
        <v>15</v>
      </c>
      <c r="J8" s="132"/>
      <c r="K8" s="96"/>
    </row>
    <row r="9" spans="1:11" x14ac:dyDescent="0.2">
      <c r="A9" s="47" t="s">
        <v>18</v>
      </c>
      <c r="B9" s="136" t="s">
        <v>18</v>
      </c>
      <c r="C9" s="89">
        <v>68290</v>
      </c>
      <c r="D9" s="53">
        <v>0.42499999999999999</v>
      </c>
      <c r="E9" s="54">
        <v>1</v>
      </c>
      <c r="F9" s="55">
        <v>12</v>
      </c>
      <c r="G9" s="56">
        <f>F9/12</f>
        <v>1</v>
      </c>
      <c r="H9" s="57">
        <f>ROUND(C9*(1+D9)*E9*G9,0)</f>
        <v>97313</v>
      </c>
      <c r="I9" s="134" t="s">
        <v>15</v>
      </c>
      <c r="J9" s="132"/>
      <c r="K9" s="96"/>
    </row>
    <row r="10" spans="1:11" x14ac:dyDescent="0.2">
      <c r="A10" s="47" t="s">
        <v>19</v>
      </c>
      <c r="B10" s="136" t="s">
        <v>19</v>
      </c>
      <c r="C10" s="89">
        <v>72387</v>
      </c>
      <c r="D10" s="53">
        <v>0.42499999999999999</v>
      </c>
      <c r="E10" s="54">
        <v>1</v>
      </c>
      <c r="F10" s="55">
        <v>12</v>
      </c>
      <c r="G10" s="56">
        <f>F10/12</f>
        <v>1</v>
      </c>
      <c r="H10" s="57">
        <f>ROUND(C10*(1+D10)*E10*G10,0)</f>
        <v>103151</v>
      </c>
      <c r="I10" s="134" t="s">
        <v>15</v>
      </c>
      <c r="J10" s="132"/>
    </row>
    <row r="11" spans="1:11" x14ac:dyDescent="0.2">
      <c r="A11" s="47" t="s">
        <v>20</v>
      </c>
      <c r="B11" s="136" t="s">
        <v>20</v>
      </c>
      <c r="C11" s="90">
        <v>76730</v>
      </c>
      <c r="D11" s="86">
        <v>0.42499999999999999</v>
      </c>
      <c r="E11" s="87">
        <v>1</v>
      </c>
      <c r="F11" s="137">
        <v>12</v>
      </c>
      <c r="G11" s="88">
        <f>F11/12</f>
        <v>1</v>
      </c>
      <c r="H11" s="138">
        <f>ROUND(C11*(1+D11)*E11*G11,0)</f>
        <v>109340</v>
      </c>
      <c r="I11" s="139" t="s">
        <v>15</v>
      </c>
      <c r="J11" s="140"/>
    </row>
    <row r="12" spans="1:11" ht="56.25" customHeight="1" x14ac:dyDescent="0.2">
      <c r="A12" s="47"/>
      <c r="B12" s="1023" t="s">
        <v>21</v>
      </c>
      <c r="C12" s="1024"/>
      <c r="D12" s="1024"/>
      <c r="E12" s="1024"/>
      <c r="F12" s="1024"/>
      <c r="G12" s="1024"/>
      <c r="H12" s="1024"/>
      <c r="I12" s="1024"/>
      <c r="J12" s="1024"/>
    </row>
    <row r="13" spans="1:11" ht="12.75" customHeight="1" x14ac:dyDescent="0.2">
      <c r="A13" s="47" t="s">
        <v>13</v>
      </c>
      <c r="B13" s="141" t="s">
        <v>22</v>
      </c>
      <c r="C13" s="89">
        <v>48256</v>
      </c>
      <c r="D13" s="53">
        <v>0.42499999999999999</v>
      </c>
      <c r="E13" s="59">
        <v>1</v>
      </c>
      <c r="F13" s="55">
        <v>9</v>
      </c>
      <c r="G13" s="60">
        <f>F13/12</f>
        <v>0.75</v>
      </c>
      <c r="H13" s="57">
        <f>ROUND(C13*(1+D13)*E13*G13,0)</f>
        <v>51574</v>
      </c>
      <c r="I13" s="134" t="s">
        <v>15</v>
      </c>
      <c r="J13" s="132" t="s">
        <v>23</v>
      </c>
      <c r="K13" s="97"/>
    </row>
    <row r="14" spans="1:11" x14ac:dyDescent="0.2">
      <c r="A14" s="47" t="s">
        <v>17</v>
      </c>
      <c r="B14" s="135" t="s">
        <v>17</v>
      </c>
      <c r="C14" s="89">
        <v>52518</v>
      </c>
      <c r="D14" s="53">
        <v>0.42499999999999999</v>
      </c>
      <c r="E14" s="59">
        <v>1</v>
      </c>
      <c r="F14" s="55">
        <v>12</v>
      </c>
      <c r="G14" s="60">
        <f>F14/12</f>
        <v>1</v>
      </c>
      <c r="H14" s="57">
        <f>ROUND(C14*(1+D14)*E14*G14,0)</f>
        <v>74838</v>
      </c>
      <c r="I14" s="134" t="s">
        <v>15</v>
      </c>
      <c r="J14" s="132"/>
      <c r="K14" s="97"/>
    </row>
    <row r="15" spans="1:11" x14ac:dyDescent="0.2">
      <c r="A15" s="47" t="s">
        <v>18</v>
      </c>
      <c r="B15" s="136" t="s">
        <v>18</v>
      </c>
      <c r="C15" s="89">
        <v>55669</v>
      </c>
      <c r="D15" s="53">
        <v>0.42499999999999999</v>
      </c>
      <c r="E15" s="59">
        <v>1</v>
      </c>
      <c r="F15" s="55">
        <v>12</v>
      </c>
      <c r="G15" s="60">
        <f>F15/12</f>
        <v>1</v>
      </c>
      <c r="H15" s="57">
        <f>ROUND(C15*(1+D15)*E15*G15,0)</f>
        <v>79328</v>
      </c>
      <c r="I15" s="134" t="s">
        <v>15</v>
      </c>
      <c r="J15" s="132"/>
      <c r="K15" s="97"/>
    </row>
    <row r="16" spans="1:11" x14ac:dyDescent="0.2">
      <c r="A16" s="47" t="s">
        <v>19</v>
      </c>
      <c r="B16" s="136" t="s">
        <v>19</v>
      </c>
      <c r="C16" s="89">
        <v>59010</v>
      </c>
      <c r="D16" s="53">
        <v>0.42499999999999999</v>
      </c>
      <c r="E16" s="59">
        <v>1</v>
      </c>
      <c r="F16" s="55">
        <v>12</v>
      </c>
      <c r="G16" s="60">
        <f>F16/12</f>
        <v>1</v>
      </c>
      <c r="H16" s="57">
        <f>ROUND(C16*(1+D16)*E16*G16,0)</f>
        <v>84089</v>
      </c>
      <c r="I16" s="134" t="s">
        <v>15</v>
      </c>
      <c r="J16" s="132"/>
      <c r="K16" s="97"/>
    </row>
    <row r="17" spans="1:11" x14ac:dyDescent="0.2">
      <c r="A17" s="47" t="s">
        <v>20</v>
      </c>
      <c r="B17" s="136" t="s">
        <v>20</v>
      </c>
      <c r="C17" s="443">
        <v>62550</v>
      </c>
      <c r="D17" s="86">
        <v>0.42499999999999999</v>
      </c>
      <c r="E17" s="444">
        <v>1</v>
      </c>
      <c r="F17" s="137">
        <v>12</v>
      </c>
      <c r="G17" s="445">
        <f>F17/12</f>
        <v>1</v>
      </c>
      <c r="H17" s="138">
        <f>ROUND(C17*(1+D17)*E17*G17,0)</f>
        <v>89134</v>
      </c>
      <c r="I17" s="139" t="s">
        <v>15</v>
      </c>
      <c r="J17" s="140"/>
      <c r="K17" s="97"/>
    </row>
    <row r="18" spans="1:11" ht="58.5" customHeight="1" x14ac:dyDescent="0.2">
      <c r="A18" s="47"/>
      <c r="B18" s="1013" t="s">
        <v>24</v>
      </c>
      <c r="C18" s="1013"/>
      <c r="D18" s="1013"/>
      <c r="E18" s="1013"/>
      <c r="F18" s="1013"/>
      <c r="G18" s="1013"/>
      <c r="H18" s="1013"/>
      <c r="I18" s="1013"/>
      <c r="J18" s="1013"/>
      <c r="K18" s="98"/>
    </row>
    <row r="19" spans="1:11" x14ac:dyDescent="0.2">
      <c r="A19" s="47" t="s">
        <v>13</v>
      </c>
      <c r="B19" s="446" t="s">
        <v>25</v>
      </c>
      <c r="C19" s="447">
        <v>77321</v>
      </c>
      <c r="D19" s="448">
        <v>0.42499999999999999</v>
      </c>
      <c r="E19" s="449">
        <v>1</v>
      </c>
      <c r="F19" s="450">
        <v>5</v>
      </c>
      <c r="G19" s="451">
        <f>F19/12</f>
        <v>0.41666666666666669</v>
      </c>
      <c r="H19" s="452">
        <f>ROUND(C19*(1+D19)*E19*G19,0)</f>
        <v>45909</v>
      </c>
      <c r="I19" s="453" t="s">
        <v>26</v>
      </c>
      <c r="J19" s="454" t="s">
        <v>23</v>
      </c>
      <c r="K19" s="99"/>
    </row>
    <row r="20" spans="1:11" x14ac:dyDescent="0.2">
      <c r="A20" s="47" t="s">
        <v>17</v>
      </c>
      <c r="B20" s="135" t="s">
        <v>17</v>
      </c>
      <c r="C20" s="61">
        <v>109821</v>
      </c>
      <c r="D20" s="62">
        <v>0.42499999999999999</v>
      </c>
      <c r="E20" s="59">
        <v>1</v>
      </c>
      <c r="F20" s="63">
        <v>12</v>
      </c>
      <c r="G20" s="60">
        <f>F20/12</f>
        <v>1</v>
      </c>
      <c r="H20" s="64">
        <f>ROUND(C20*(1+D20)*E20*G20,0)</f>
        <v>156495</v>
      </c>
      <c r="I20" s="142" t="s">
        <v>26</v>
      </c>
      <c r="J20" s="132"/>
      <c r="K20" s="99"/>
    </row>
    <row r="21" spans="1:11" x14ac:dyDescent="0.2">
      <c r="A21" s="47" t="s">
        <v>18</v>
      </c>
      <c r="B21" s="136" t="s">
        <v>18</v>
      </c>
      <c r="C21" s="61">
        <v>115838</v>
      </c>
      <c r="D21" s="62">
        <v>0.42499999999999999</v>
      </c>
      <c r="E21" s="59">
        <v>1</v>
      </c>
      <c r="F21" s="63">
        <v>12</v>
      </c>
      <c r="G21" s="60">
        <f>F21/12</f>
        <v>1</v>
      </c>
      <c r="H21" s="64">
        <f>ROUND(C21*(1+D21)*E21*G21,0)</f>
        <v>165069</v>
      </c>
      <c r="I21" s="142" t="s">
        <v>26</v>
      </c>
      <c r="J21" s="132"/>
      <c r="K21" s="99"/>
    </row>
    <row r="22" spans="1:11" x14ac:dyDescent="0.2">
      <c r="A22" s="47" t="s">
        <v>19</v>
      </c>
      <c r="B22" s="136" t="s">
        <v>19</v>
      </c>
      <c r="C22" s="61">
        <v>122788</v>
      </c>
      <c r="D22" s="62">
        <v>0.42499999999999999</v>
      </c>
      <c r="E22" s="59">
        <v>1</v>
      </c>
      <c r="F22" s="63">
        <v>12</v>
      </c>
      <c r="G22" s="60">
        <f>F22/12</f>
        <v>1</v>
      </c>
      <c r="H22" s="64">
        <f>ROUND(C22*(1+D22)*E22*G22,0)</f>
        <v>174973</v>
      </c>
      <c r="I22" s="142" t="s">
        <v>26</v>
      </c>
      <c r="J22" s="132"/>
      <c r="K22" s="99"/>
    </row>
    <row r="23" spans="1:11" x14ac:dyDescent="0.2">
      <c r="A23" s="47" t="s">
        <v>20</v>
      </c>
      <c r="B23" s="136" t="s">
        <v>20</v>
      </c>
      <c r="C23" s="455">
        <v>130155</v>
      </c>
      <c r="D23" s="456">
        <v>0.42499999999999999</v>
      </c>
      <c r="E23" s="444">
        <v>1</v>
      </c>
      <c r="F23" s="457">
        <v>12</v>
      </c>
      <c r="G23" s="445">
        <f>F23/12</f>
        <v>1</v>
      </c>
      <c r="H23" s="458">
        <f>ROUND(C23*(1+D23)*E23*G23,0)</f>
        <v>185471</v>
      </c>
      <c r="I23" s="459" t="s">
        <v>26</v>
      </c>
      <c r="J23" s="140"/>
      <c r="K23" s="99"/>
    </row>
    <row r="24" spans="1:11" ht="57.75" customHeight="1" x14ac:dyDescent="0.2">
      <c r="A24" s="47"/>
      <c r="B24" s="1014" t="s">
        <v>27</v>
      </c>
      <c r="C24" s="1014"/>
      <c r="D24" s="1014"/>
      <c r="E24" s="1014"/>
      <c r="F24" s="1014"/>
      <c r="G24" s="1014"/>
      <c r="H24" s="1014"/>
      <c r="I24" s="1014"/>
      <c r="J24" s="1014"/>
      <c r="K24" s="100"/>
    </row>
    <row r="25" spans="1:11" ht="22.5" x14ac:dyDescent="0.2">
      <c r="A25" s="47" t="s">
        <v>13</v>
      </c>
      <c r="B25" s="446" t="s">
        <v>28</v>
      </c>
      <c r="C25" s="460">
        <v>79304</v>
      </c>
      <c r="D25" s="448">
        <v>0.42499999999999999</v>
      </c>
      <c r="E25" s="449">
        <v>1</v>
      </c>
      <c r="F25" s="450">
        <v>9</v>
      </c>
      <c r="G25" s="451">
        <f>F25/12</f>
        <v>0.75</v>
      </c>
      <c r="H25" s="452">
        <f>ROUND(C25*(1+D25)*E25*G25,0)</f>
        <v>84756</v>
      </c>
      <c r="I25" s="453" t="s">
        <v>15</v>
      </c>
      <c r="J25" s="454" t="s">
        <v>23</v>
      </c>
      <c r="K25" s="99"/>
    </row>
    <row r="26" spans="1:11" x14ac:dyDescent="0.2">
      <c r="A26" s="47" t="s">
        <v>17</v>
      </c>
      <c r="B26" s="135" t="s">
        <v>17</v>
      </c>
      <c r="C26" s="52">
        <v>84062</v>
      </c>
      <c r="D26" s="62">
        <v>0.42499999999999999</v>
      </c>
      <c r="E26" s="59">
        <v>1</v>
      </c>
      <c r="F26" s="63">
        <v>12</v>
      </c>
      <c r="G26" s="60">
        <f>F26/12</f>
        <v>1</v>
      </c>
      <c r="H26" s="64">
        <f>ROUND(C26*(1+D26)*E26*G26,0)</f>
        <v>119788</v>
      </c>
      <c r="I26" s="142" t="s">
        <v>15</v>
      </c>
      <c r="J26" s="132"/>
      <c r="K26" s="99"/>
    </row>
    <row r="27" spans="1:11" x14ac:dyDescent="0.2">
      <c r="A27" s="47" t="s">
        <v>18</v>
      </c>
      <c r="B27" s="136" t="s">
        <v>18</v>
      </c>
      <c r="C27" s="52">
        <v>89106</v>
      </c>
      <c r="D27" s="62">
        <v>0.42499999999999999</v>
      </c>
      <c r="E27" s="59">
        <v>1</v>
      </c>
      <c r="F27" s="63">
        <v>12</v>
      </c>
      <c r="G27" s="60">
        <f>F27/12</f>
        <v>1</v>
      </c>
      <c r="H27" s="64">
        <f>ROUND(C27*(1+D27)*E27*G27,0)</f>
        <v>126976</v>
      </c>
      <c r="I27" s="142" t="s">
        <v>15</v>
      </c>
      <c r="J27" s="132"/>
      <c r="K27" s="99"/>
    </row>
    <row r="28" spans="1:11" x14ac:dyDescent="0.2">
      <c r="A28" s="47" t="s">
        <v>19</v>
      </c>
      <c r="B28" s="136" t="s">
        <v>19</v>
      </c>
      <c r="C28" s="52">
        <v>94452</v>
      </c>
      <c r="D28" s="62">
        <v>0.42499999999999999</v>
      </c>
      <c r="E28" s="59">
        <v>1</v>
      </c>
      <c r="F28" s="63">
        <v>12</v>
      </c>
      <c r="G28" s="60">
        <f>F28/12</f>
        <v>1</v>
      </c>
      <c r="H28" s="64">
        <f>ROUND(C28*(1+D28)*E28*G28,0)</f>
        <v>134594</v>
      </c>
      <c r="I28" s="142" t="s">
        <v>15</v>
      </c>
      <c r="J28" s="132"/>
      <c r="K28" s="99"/>
    </row>
    <row r="29" spans="1:11" x14ac:dyDescent="0.2">
      <c r="A29" s="47" t="s">
        <v>20</v>
      </c>
      <c r="B29" s="136" t="s">
        <v>20</v>
      </c>
      <c r="C29" s="461">
        <v>100119</v>
      </c>
      <c r="D29" s="456">
        <v>0.42499999999999999</v>
      </c>
      <c r="E29" s="444">
        <v>1</v>
      </c>
      <c r="F29" s="457">
        <v>0</v>
      </c>
      <c r="G29" s="445">
        <f>F29/12</f>
        <v>0</v>
      </c>
      <c r="H29" s="458">
        <f>ROUND(C29*(1+D29)*E29*G29,0)</f>
        <v>0</v>
      </c>
      <c r="I29" s="459" t="s">
        <v>15</v>
      </c>
      <c r="J29" s="140"/>
      <c r="K29" s="99"/>
    </row>
    <row r="30" spans="1:11" ht="55.5" customHeight="1" x14ac:dyDescent="0.2">
      <c r="A30" s="47"/>
      <c r="B30" s="1015" t="s">
        <v>29</v>
      </c>
      <c r="C30" s="1015"/>
      <c r="D30" s="1015"/>
      <c r="E30" s="1015"/>
      <c r="F30" s="1015"/>
      <c r="G30" s="1015"/>
      <c r="H30" s="1015"/>
      <c r="I30" s="1015"/>
      <c r="J30" s="1015"/>
      <c r="K30" s="100"/>
    </row>
    <row r="31" spans="1:11" ht="22.5" x14ac:dyDescent="0.2">
      <c r="A31" s="47" t="s">
        <v>13</v>
      </c>
      <c r="B31" s="446" t="s">
        <v>30</v>
      </c>
      <c r="C31" s="460">
        <v>64236</v>
      </c>
      <c r="D31" s="448">
        <v>0.42499999999999999</v>
      </c>
      <c r="E31" s="449">
        <v>1</v>
      </c>
      <c r="F31" s="450">
        <v>9</v>
      </c>
      <c r="G31" s="451">
        <f>F31/12</f>
        <v>0.75</v>
      </c>
      <c r="H31" s="452">
        <f>ROUND(C31*(1+D31)*E31*G31,0)</f>
        <v>68652</v>
      </c>
      <c r="I31" s="453" t="s">
        <v>15</v>
      </c>
      <c r="J31" s="454" t="s">
        <v>23</v>
      </c>
      <c r="K31" s="99"/>
    </row>
    <row r="32" spans="1:11" x14ac:dyDescent="0.2">
      <c r="A32" s="47" t="s">
        <v>17</v>
      </c>
      <c r="B32" s="135" t="s">
        <v>17</v>
      </c>
      <c r="C32" s="52">
        <v>68090</v>
      </c>
      <c r="D32" s="62">
        <v>0.42499999999999999</v>
      </c>
      <c r="E32" s="59">
        <v>1</v>
      </c>
      <c r="F32" s="63">
        <v>12</v>
      </c>
      <c r="G32" s="60">
        <f>F32/12</f>
        <v>1</v>
      </c>
      <c r="H32" s="64">
        <f>ROUND(C32*(1+D32)*E32*G32,0)</f>
        <v>97028</v>
      </c>
      <c r="I32" s="142" t="s">
        <v>15</v>
      </c>
      <c r="J32" s="132"/>
      <c r="K32" s="99"/>
    </row>
    <row r="33" spans="1:11" x14ac:dyDescent="0.2">
      <c r="A33" s="47" t="s">
        <v>18</v>
      </c>
      <c r="B33" s="136" t="s">
        <v>18</v>
      </c>
      <c r="C33" s="52">
        <v>72176</v>
      </c>
      <c r="D33" s="62">
        <v>0.42499999999999999</v>
      </c>
      <c r="E33" s="59">
        <v>1</v>
      </c>
      <c r="F33" s="63">
        <v>0</v>
      </c>
      <c r="G33" s="60">
        <f>F33/12</f>
        <v>0</v>
      </c>
      <c r="H33" s="64">
        <f>ROUND(C33*(1+D33)*E33*G33,0)</f>
        <v>0</v>
      </c>
      <c r="I33" s="142" t="s">
        <v>15</v>
      </c>
      <c r="J33" s="132"/>
      <c r="K33" s="99"/>
    </row>
    <row r="34" spans="1:11" x14ac:dyDescent="0.2">
      <c r="A34" s="47" t="s">
        <v>19</v>
      </c>
      <c r="B34" s="136" t="s">
        <v>19</v>
      </c>
      <c r="C34" s="52">
        <v>76506</v>
      </c>
      <c r="D34" s="62">
        <v>0.42499999999999999</v>
      </c>
      <c r="E34" s="59">
        <v>1</v>
      </c>
      <c r="F34" s="63">
        <v>0</v>
      </c>
      <c r="G34" s="60">
        <f>F34/12</f>
        <v>0</v>
      </c>
      <c r="H34" s="64">
        <f>ROUND(C34*(1+D34)*E34*G34,0)</f>
        <v>0</v>
      </c>
      <c r="I34" s="142" t="s">
        <v>15</v>
      </c>
      <c r="J34" s="132"/>
      <c r="K34" s="99"/>
    </row>
    <row r="35" spans="1:11" x14ac:dyDescent="0.2">
      <c r="A35" s="47" t="s">
        <v>20</v>
      </c>
      <c r="B35" s="463" t="s">
        <v>20</v>
      </c>
      <c r="C35" s="461">
        <v>81097</v>
      </c>
      <c r="D35" s="456">
        <v>0.42499999999999999</v>
      </c>
      <c r="E35" s="444">
        <v>1</v>
      </c>
      <c r="F35" s="457">
        <v>0</v>
      </c>
      <c r="G35" s="445">
        <f>F35/12</f>
        <v>0</v>
      </c>
      <c r="H35" s="458">
        <f>ROUND(C35*(1+D35)*E35*G35,0)</f>
        <v>0</v>
      </c>
      <c r="I35" s="459" t="s">
        <v>15</v>
      </c>
      <c r="J35" s="140"/>
      <c r="K35" s="99"/>
    </row>
    <row r="36" spans="1:11" ht="45" customHeight="1" x14ac:dyDescent="0.2">
      <c r="A36" s="47"/>
      <c r="B36" s="1015" t="s">
        <v>31</v>
      </c>
      <c r="C36" s="1015"/>
      <c r="D36" s="1015"/>
      <c r="E36" s="1015"/>
      <c r="F36" s="1015"/>
      <c r="G36" s="1015"/>
      <c r="H36" s="1015"/>
      <c r="I36" s="1015"/>
      <c r="J36" s="1015"/>
      <c r="K36" s="100"/>
    </row>
    <row r="37" spans="1:11" ht="45" x14ac:dyDescent="0.2">
      <c r="A37" s="47" t="s">
        <v>13</v>
      </c>
      <c r="B37" s="464" t="s">
        <v>32</v>
      </c>
      <c r="C37" s="460">
        <v>154667</v>
      </c>
      <c r="D37" s="448">
        <v>0.42499999999999999</v>
      </c>
      <c r="E37" s="449">
        <v>1</v>
      </c>
      <c r="F37" s="450">
        <v>10.5</v>
      </c>
      <c r="G37" s="451">
        <f>F37/12</f>
        <v>0.875</v>
      </c>
      <c r="H37" s="452">
        <f>ROUND(C37*(1+D37)*E37*G37,0)</f>
        <v>192850</v>
      </c>
      <c r="I37" s="453" t="s">
        <v>15</v>
      </c>
      <c r="J37" s="454" t="s">
        <v>23</v>
      </c>
      <c r="K37" s="99"/>
    </row>
    <row r="38" spans="1:11" x14ac:dyDescent="0.2">
      <c r="A38" s="47" t="s">
        <v>17</v>
      </c>
      <c r="B38" s="135" t="s">
        <v>17</v>
      </c>
      <c r="C38" s="52">
        <v>144139</v>
      </c>
      <c r="D38" s="62">
        <v>0.42499999999999999</v>
      </c>
      <c r="E38" s="59">
        <v>1</v>
      </c>
      <c r="F38" s="63">
        <v>12</v>
      </c>
      <c r="G38" s="60">
        <f>F38/12</f>
        <v>1</v>
      </c>
      <c r="H38" s="64">
        <f>ROUND(C38*(1+D38)*E38*G38,0)</f>
        <v>205398</v>
      </c>
      <c r="I38" s="142" t="s">
        <v>15</v>
      </c>
      <c r="J38" s="132"/>
      <c r="K38" s="99"/>
    </row>
    <row r="39" spans="1:11" x14ac:dyDescent="0.2">
      <c r="A39" s="47" t="s">
        <v>18</v>
      </c>
      <c r="B39" s="136" t="s">
        <v>18</v>
      </c>
      <c r="C39" s="52">
        <v>152787</v>
      </c>
      <c r="D39" s="62">
        <v>0.42499999999999999</v>
      </c>
      <c r="E39" s="59">
        <v>1</v>
      </c>
      <c r="F39" s="63">
        <v>12</v>
      </c>
      <c r="G39" s="60">
        <f>F39/12</f>
        <v>1</v>
      </c>
      <c r="H39" s="64">
        <f>ROUND(C39*(1+D39)*E39*G39,0)</f>
        <v>217721</v>
      </c>
      <c r="I39" s="142" t="s">
        <v>15</v>
      </c>
      <c r="J39" s="132"/>
      <c r="K39" s="99"/>
    </row>
    <row r="40" spans="1:11" x14ac:dyDescent="0.2">
      <c r="A40" s="47" t="s">
        <v>19</v>
      </c>
      <c r="B40" s="136" t="s">
        <v>19</v>
      </c>
      <c r="C40" s="52">
        <v>161954</v>
      </c>
      <c r="D40" s="62">
        <v>0.42499999999999999</v>
      </c>
      <c r="E40" s="59">
        <v>1</v>
      </c>
      <c r="F40" s="63">
        <v>12</v>
      </c>
      <c r="G40" s="60">
        <f>F40/12</f>
        <v>1</v>
      </c>
      <c r="H40" s="64">
        <f>ROUND(C40*(1+D40)*E40*G40,0)</f>
        <v>230784</v>
      </c>
      <c r="I40" s="142" t="s">
        <v>15</v>
      </c>
      <c r="J40" s="132"/>
      <c r="K40" s="99"/>
    </row>
    <row r="41" spans="1:11" x14ac:dyDescent="0.2">
      <c r="A41" s="47" t="s">
        <v>20</v>
      </c>
      <c r="B41" s="462" t="s">
        <v>20</v>
      </c>
      <c r="C41" s="465">
        <v>171672</v>
      </c>
      <c r="D41" s="62">
        <v>0.42499999999999999</v>
      </c>
      <c r="E41" s="59">
        <v>1</v>
      </c>
      <c r="F41" s="63">
        <v>12</v>
      </c>
      <c r="G41" s="60">
        <f>F41/12</f>
        <v>1</v>
      </c>
      <c r="H41" s="64">
        <f>ROUND(C41*(1+D41)*E41*G41,0)</f>
        <v>244633</v>
      </c>
      <c r="I41" s="142" t="s">
        <v>15</v>
      </c>
      <c r="J41" s="132"/>
      <c r="K41" s="99"/>
    </row>
    <row r="42" spans="1:11" x14ac:dyDescent="0.2">
      <c r="A42" s="47"/>
      <c r="B42" s="1016" t="s">
        <v>33</v>
      </c>
      <c r="C42" s="1016"/>
      <c r="D42" s="1017"/>
      <c r="E42" s="1017"/>
      <c r="F42" s="1017"/>
      <c r="G42" s="1017"/>
      <c r="H42" s="1017"/>
      <c r="I42" s="1017"/>
      <c r="J42" s="1017"/>
      <c r="K42" s="100"/>
    </row>
    <row r="43" spans="1:11" ht="22.5" x14ac:dyDescent="0.2">
      <c r="A43" s="47" t="s">
        <v>13</v>
      </c>
      <c r="B43" s="446" t="s">
        <v>34</v>
      </c>
      <c r="C43" s="460">
        <v>103095</v>
      </c>
      <c r="D43" s="448">
        <v>0.42499999999999999</v>
      </c>
      <c r="E43" s="449">
        <v>1</v>
      </c>
      <c r="F43" s="450">
        <v>10.5</v>
      </c>
      <c r="G43" s="451">
        <f>F43/12</f>
        <v>0.875</v>
      </c>
      <c r="H43" s="452">
        <f>ROUND(C43*(1+D43)*E43*G43,0)</f>
        <v>128547</v>
      </c>
      <c r="I43" s="453" t="s">
        <v>15</v>
      </c>
      <c r="J43" s="454" t="s">
        <v>23</v>
      </c>
      <c r="K43" s="99"/>
    </row>
    <row r="44" spans="1:11" x14ac:dyDescent="0.2">
      <c r="A44" s="47" t="s">
        <v>17</v>
      </c>
      <c r="B44" s="135" t="s">
        <v>17</v>
      </c>
      <c r="C44" s="52">
        <v>84062</v>
      </c>
      <c r="D44" s="62">
        <v>0.42499999999999999</v>
      </c>
      <c r="E44" s="59">
        <v>1</v>
      </c>
      <c r="F44" s="63">
        <v>12</v>
      </c>
      <c r="G44" s="60">
        <f>F44/12</f>
        <v>1</v>
      </c>
      <c r="H44" s="64">
        <f>ROUND(C44*(1+D44)*E44*G44,0)</f>
        <v>119788</v>
      </c>
      <c r="I44" s="142" t="s">
        <v>15</v>
      </c>
      <c r="J44" s="132"/>
      <c r="K44" s="99"/>
    </row>
    <row r="45" spans="1:11" x14ac:dyDescent="0.2">
      <c r="A45" s="47" t="s">
        <v>18</v>
      </c>
      <c r="B45" s="136" t="s">
        <v>18</v>
      </c>
      <c r="C45" s="52">
        <v>89106</v>
      </c>
      <c r="D45" s="62">
        <v>0.42499999999999999</v>
      </c>
      <c r="E45" s="59">
        <v>1</v>
      </c>
      <c r="F45" s="63">
        <v>12</v>
      </c>
      <c r="G45" s="60">
        <f>F45/12</f>
        <v>1</v>
      </c>
      <c r="H45" s="64">
        <f>ROUND(C45*(1+D45)*E45*G45,0)</f>
        <v>126976</v>
      </c>
      <c r="I45" s="142" t="s">
        <v>15</v>
      </c>
      <c r="J45" s="132"/>
      <c r="K45" s="99"/>
    </row>
    <row r="46" spans="1:11" x14ac:dyDescent="0.2">
      <c r="A46" s="47" t="s">
        <v>19</v>
      </c>
      <c r="B46" s="136" t="s">
        <v>19</v>
      </c>
      <c r="C46" s="52">
        <v>94452</v>
      </c>
      <c r="D46" s="62">
        <v>0.42499999999999999</v>
      </c>
      <c r="E46" s="59">
        <v>1</v>
      </c>
      <c r="F46" s="63">
        <v>12</v>
      </c>
      <c r="G46" s="60">
        <f>F46/12</f>
        <v>1</v>
      </c>
      <c r="H46" s="64">
        <f>ROUND(C46*(1+D46)*E46*G46,0)</f>
        <v>134594</v>
      </c>
      <c r="I46" s="142" t="s">
        <v>15</v>
      </c>
      <c r="J46" s="132"/>
      <c r="K46" s="99"/>
    </row>
    <row r="47" spans="1:11" x14ac:dyDescent="0.2">
      <c r="A47" s="47" t="s">
        <v>20</v>
      </c>
      <c r="B47" s="463" t="s">
        <v>20</v>
      </c>
      <c r="C47" s="461">
        <v>100119</v>
      </c>
      <c r="D47" s="456">
        <v>0.42499999999999999</v>
      </c>
      <c r="E47" s="444">
        <v>1</v>
      </c>
      <c r="F47" s="457">
        <v>12</v>
      </c>
      <c r="G47" s="445">
        <f>F47/12</f>
        <v>1</v>
      </c>
      <c r="H47" s="458">
        <f>ROUND(C47*(1+D47)*E47*G47,0)</f>
        <v>142670</v>
      </c>
      <c r="I47" s="459" t="s">
        <v>15</v>
      </c>
      <c r="J47" s="140"/>
      <c r="K47" s="99"/>
    </row>
    <row r="48" spans="1:11" x14ac:dyDescent="0.2">
      <c r="A48" s="47"/>
      <c r="B48" s="1015" t="s">
        <v>35</v>
      </c>
      <c r="C48" s="1015"/>
      <c r="D48" s="1015"/>
      <c r="E48" s="1015"/>
      <c r="F48" s="1015"/>
      <c r="G48" s="1015"/>
      <c r="H48" s="1015"/>
      <c r="I48" s="1015"/>
      <c r="J48" s="1015"/>
      <c r="K48" s="100"/>
    </row>
    <row r="49" spans="1:12" x14ac:dyDescent="0.2">
      <c r="A49" s="47" t="s">
        <v>13</v>
      </c>
      <c r="B49" s="464" t="s">
        <v>36</v>
      </c>
      <c r="C49" s="460">
        <v>114550</v>
      </c>
      <c r="D49" s="466">
        <v>0.42499999999999999</v>
      </c>
      <c r="E49" s="449">
        <v>1</v>
      </c>
      <c r="F49" s="467">
        <v>9</v>
      </c>
      <c r="G49" s="451">
        <f>F49/12</f>
        <v>0.75</v>
      </c>
      <c r="H49" s="468">
        <f>ROUND(C49*(1+D49)*E49*G49,0)</f>
        <v>122425</v>
      </c>
      <c r="I49" s="469" t="s">
        <v>15</v>
      </c>
      <c r="J49" s="454" t="s">
        <v>23</v>
      </c>
      <c r="K49" s="97"/>
    </row>
    <row r="50" spans="1:12" x14ac:dyDescent="0.2">
      <c r="A50" s="47" t="s">
        <v>17</v>
      </c>
      <c r="B50" s="135" t="s">
        <v>17</v>
      </c>
      <c r="C50" s="52">
        <v>121423</v>
      </c>
      <c r="D50" s="53">
        <v>0.42499999999999999</v>
      </c>
      <c r="E50" s="59">
        <v>1</v>
      </c>
      <c r="F50" s="55">
        <v>12</v>
      </c>
      <c r="G50" s="60">
        <f>F50/12</f>
        <v>1</v>
      </c>
      <c r="H50" s="57">
        <f>ROUND(C50*(1+D50)*E50*G50,0)</f>
        <v>173028</v>
      </c>
      <c r="I50" s="134" t="s">
        <v>15</v>
      </c>
      <c r="J50" s="132"/>
      <c r="K50" s="97"/>
    </row>
    <row r="51" spans="1:12" x14ac:dyDescent="0.2">
      <c r="A51" s="47" t="s">
        <v>18</v>
      </c>
      <c r="B51" s="136" t="s">
        <v>18</v>
      </c>
      <c r="C51" s="52">
        <v>128708</v>
      </c>
      <c r="D51" s="53">
        <v>0.42499999999999999</v>
      </c>
      <c r="E51" s="59">
        <v>1</v>
      </c>
      <c r="F51" s="55">
        <v>12</v>
      </c>
      <c r="G51" s="60">
        <f>F51/12</f>
        <v>1</v>
      </c>
      <c r="H51" s="57">
        <f>ROUND(C51*(1+D51)*E51*G51,0)</f>
        <v>183409</v>
      </c>
      <c r="I51" s="134" t="s">
        <v>15</v>
      </c>
      <c r="J51" s="132"/>
      <c r="K51" s="97"/>
    </row>
    <row r="52" spans="1:12" x14ac:dyDescent="0.2">
      <c r="A52" s="47" t="s">
        <v>19</v>
      </c>
      <c r="B52" s="136" t="s">
        <v>19</v>
      </c>
      <c r="C52" s="52">
        <v>136431</v>
      </c>
      <c r="D52" s="53">
        <v>0.42499999999999999</v>
      </c>
      <c r="E52" s="59">
        <v>1</v>
      </c>
      <c r="F52" s="81">
        <v>3</v>
      </c>
      <c r="G52" s="60">
        <f>F52/12</f>
        <v>0.25</v>
      </c>
      <c r="H52" s="57">
        <f>ROUND(C52*(1+D52)*E52*G52,0)</f>
        <v>48604</v>
      </c>
      <c r="I52" s="134" t="s">
        <v>15</v>
      </c>
      <c r="J52" s="132"/>
      <c r="K52" s="97"/>
    </row>
    <row r="53" spans="1:12" x14ac:dyDescent="0.2">
      <c r="A53" s="47" t="s">
        <v>20</v>
      </c>
      <c r="B53" s="136" t="s">
        <v>20</v>
      </c>
      <c r="C53" s="52">
        <v>144617</v>
      </c>
      <c r="D53" s="53">
        <v>0.42499999999999999</v>
      </c>
      <c r="E53" s="59">
        <v>1</v>
      </c>
      <c r="F53" s="55">
        <v>0</v>
      </c>
      <c r="G53" s="60">
        <f>F53/12</f>
        <v>0</v>
      </c>
      <c r="H53" s="57">
        <f>ROUND(C53*(1+D53)*E53*G53,0)</f>
        <v>0</v>
      </c>
      <c r="I53" s="134" t="s">
        <v>15</v>
      </c>
      <c r="J53" s="132"/>
      <c r="K53" s="97"/>
    </row>
    <row r="54" spans="1:12" ht="11.25" customHeight="1" x14ac:dyDescent="0.2">
      <c r="A54" s="47"/>
      <c r="B54" s="1025" t="s">
        <v>37</v>
      </c>
      <c r="C54" s="1025"/>
      <c r="D54" s="1025"/>
      <c r="E54" s="1025"/>
      <c r="F54" s="1025"/>
      <c r="G54" s="1025"/>
      <c r="H54" s="1025"/>
      <c r="I54" s="1025"/>
      <c r="J54" s="1025"/>
      <c r="K54" s="101"/>
    </row>
    <row r="55" spans="1:12" ht="22.5" x14ac:dyDescent="0.2">
      <c r="A55" s="47" t="s">
        <v>13</v>
      </c>
      <c r="B55" s="141" t="s">
        <v>38</v>
      </c>
      <c r="C55" s="82">
        <v>54891.199999999997</v>
      </c>
      <c r="D55" s="62">
        <v>0.42499999999999999</v>
      </c>
      <c r="E55" s="59">
        <v>1</v>
      </c>
      <c r="F55" s="63">
        <v>5</v>
      </c>
      <c r="G55" s="60">
        <f>F55/12</f>
        <v>0.41666666666666669</v>
      </c>
      <c r="H55" s="64">
        <f>ROUND(C55*(1+D55)*E55*G55,0)</f>
        <v>32592</v>
      </c>
      <c r="I55" s="142" t="s">
        <v>15</v>
      </c>
      <c r="J55" s="132" t="s">
        <v>16</v>
      </c>
      <c r="K55" s="96"/>
      <c r="L55" s="102"/>
    </row>
    <row r="56" spans="1:12" x14ac:dyDescent="0.2">
      <c r="A56" s="47" t="s">
        <v>17</v>
      </c>
      <c r="B56" s="135" t="s">
        <v>17</v>
      </c>
      <c r="C56" s="82">
        <v>58185</v>
      </c>
      <c r="D56" s="62">
        <v>0.42499999999999999</v>
      </c>
      <c r="E56" s="59">
        <v>1</v>
      </c>
      <c r="F56" s="63">
        <v>12</v>
      </c>
      <c r="G56" s="60">
        <f>F56/12</f>
        <v>1</v>
      </c>
      <c r="H56" s="64">
        <f>ROUND(C56*(1+D56)*E56*G56,0)</f>
        <v>82914</v>
      </c>
      <c r="I56" s="142" t="s">
        <v>15</v>
      </c>
      <c r="J56" s="132"/>
      <c r="K56" s="96"/>
      <c r="L56" s="102"/>
    </row>
    <row r="57" spans="1:12" x14ac:dyDescent="0.2">
      <c r="A57" s="47" t="s">
        <v>18</v>
      </c>
      <c r="B57" s="136" t="s">
        <v>18</v>
      </c>
      <c r="C57" s="82">
        <v>61676</v>
      </c>
      <c r="D57" s="62">
        <v>0.42499999999999999</v>
      </c>
      <c r="E57" s="59">
        <v>1</v>
      </c>
      <c r="F57" s="63">
        <v>12</v>
      </c>
      <c r="G57" s="60">
        <f>F57/12</f>
        <v>1</v>
      </c>
      <c r="H57" s="64">
        <f>ROUND(C57*(1+D57)*E57*G57,0)</f>
        <v>87888</v>
      </c>
      <c r="I57" s="142" t="s">
        <v>15</v>
      </c>
      <c r="J57" s="132"/>
      <c r="K57" s="96"/>
      <c r="L57" s="102"/>
    </row>
    <row r="58" spans="1:12" x14ac:dyDescent="0.2">
      <c r="A58" s="47" t="s">
        <v>19</v>
      </c>
      <c r="B58" s="136" t="s">
        <v>19</v>
      </c>
      <c r="C58" s="82">
        <v>65376</v>
      </c>
      <c r="D58" s="62">
        <v>0.42499999999999999</v>
      </c>
      <c r="E58" s="59">
        <v>1</v>
      </c>
      <c r="F58" s="63">
        <v>7</v>
      </c>
      <c r="G58" s="60">
        <f>F58/12</f>
        <v>0.58333333333333337</v>
      </c>
      <c r="H58" s="64">
        <f>ROUND(C58*(1+D58)*E58*G58,0)</f>
        <v>54344</v>
      </c>
      <c r="I58" s="142" t="s">
        <v>15</v>
      </c>
      <c r="J58" s="132"/>
      <c r="K58" s="96"/>
      <c r="L58" s="102"/>
    </row>
    <row r="59" spans="1:12" x14ac:dyDescent="0.2">
      <c r="A59" s="47" t="s">
        <v>20</v>
      </c>
      <c r="B59" s="136" t="s">
        <v>20</v>
      </c>
      <c r="C59" s="470">
        <v>69299</v>
      </c>
      <c r="D59" s="456">
        <v>0.42499999999999999</v>
      </c>
      <c r="E59" s="444">
        <v>1</v>
      </c>
      <c r="F59" s="457">
        <v>0</v>
      </c>
      <c r="G59" s="445">
        <f>F59/12</f>
        <v>0</v>
      </c>
      <c r="H59" s="458">
        <f>ROUND(C59*(1+D59)*E59*G59,0)</f>
        <v>0</v>
      </c>
      <c r="I59" s="459" t="s">
        <v>15</v>
      </c>
      <c r="J59" s="140"/>
      <c r="K59" s="96"/>
      <c r="L59" s="102"/>
    </row>
    <row r="60" spans="1:12" x14ac:dyDescent="0.2">
      <c r="A60" s="47"/>
      <c r="B60" s="1014" t="s">
        <v>39</v>
      </c>
      <c r="C60" s="1014"/>
      <c r="D60" s="1014"/>
      <c r="E60" s="1014"/>
      <c r="F60" s="1014"/>
      <c r="G60" s="1014"/>
      <c r="H60" s="1014"/>
      <c r="I60" s="1014"/>
      <c r="J60" s="1014"/>
      <c r="K60" s="103"/>
    </row>
    <row r="61" spans="1:12" ht="22.5" x14ac:dyDescent="0.2">
      <c r="A61" s="47" t="s">
        <v>13</v>
      </c>
      <c r="B61" s="446" t="s">
        <v>40</v>
      </c>
      <c r="C61" s="471">
        <v>59301</v>
      </c>
      <c r="D61" s="448">
        <v>0.42499999999999999</v>
      </c>
      <c r="E61" s="449">
        <v>1</v>
      </c>
      <c r="F61" s="450">
        <v>5</v>
      </c>
      <c r="G61" s="451">
        <f>F61/12</f>
        <v>0.41666666666666669</v>
      </c>
      <c r="H61" s="452">
        <f>ROUND(C61*(1+D61)*E61*G61,0)</f>
        <v>35210</v>
      </c>
      <c r="I61" s="453" t="s">
        <v>15</v>
      </c>
      <c r="J61" s="454" t="s">
        <v>16</v>
      </c>
      <c r="K61" s="96"/>
      <c r="L61" s="102"/>
    </row>
    <row r="62" spans="1:12" x14ac:dyDescent="0.2">
      <c r="A62" s="47" t="s">
        <v>17</v>
      </c>
      <c r="B62" s="135" t="s">
        <v>17</v>
      </c>
      <c r="C62" s="82">
        <v>62859</v>
      </c>
      <c r="D62" s="62">
        <v>0.42499999999999999</v>
      </c>
      <c r="E62" s="59">
        <v>1</v>
      </c>
      <c r="F62" s="63">
        <v>12</v>
      </c>
      <c r="G62" s="60">
        <f>F62/12</f>
        <v>1</v>
      </c>
      <c r="H62" s="64">
        <f>ROUND(C62*(1+D62)*E62*G62,0)</f>
        <v>89574</v>
      </c>
      <c r="I62" s="142" t="s">
        <v>15</v>
      </c>
      <c r="J62" s="132"/>
      <c r="K62" s="96"/>
      <c r="L62" s="102"/>
    </row>
    <row r="63" spans="1:12" x14ac:dyDescent="0.2">
      <c r="A63" s="47" t="s">
        <v>18</v>
      </c>
      <c r="B63" s="136" t="s">
        <v>18</v>
      </c>
      <c r="C63" s="82">
        <v>66630</v>
      </c>
      <c r="D63" s="62">
        <v>0.42499999999999999</v>
      </c>
      <c r="E63" s="59">
        <v>1</v>
      </c>
      <c r="F63" s="63">
        <v>12</v>
      </c>
      <c r="G63" s="60">
        <f>F63/12</f>
        <v>1</v>
      </c>
      <c r="H63" s="64">
        <f>ROUND(C63*(1+D63)*E63*G63,0)</f>
        <v>94948</v>
      </c>
      <c r="I63" s="142" t="s">
        <v>15</v>
      </c>
      <c r="J63" s="132"/>
      <c r="K63" s="96"/>
      <c r="L63" s="102"/>
    </row>
    <row r="64" spans="1:12" x14ac:dyDescent="0.2">
      <c r="A64" s="47" t="s">
        <v>19</v>
      </c>
      <c r="B64" s="136" t="s">
        <v>19</v>
      </c>
      <c r="C64" s="82">
        <v>70628</v>
      </c>
      <c r="D64" s="62">
        <v>0.42499999999999999</v>
      </c>
      <c r="E64" s="59">
        <v>1</v>
      </c>
      <c r="F64" s="63">
        <v>7</v>
      </c>
      <c r="G64" s="60">
        <f>F64/12</f>
        <v>0.58333333333333337</v>
      </c>
      <c r="H64" s="64">
        <f>ROUND(C64*(1+D64)*E64*G64,0)</f>
        <v>58710</v>
      </c>
      <c r="I64" s="142" t="s">
        <v>15</v>
      </c>
      <c r="J64" s="132"/>
      <c r="K64" s="96"/>
      <c r="L64" s="102"/>
    </row>
    <row r="65" spans="1:12" x14ac:dyDescent="0.2">
      <c r="A65" s="47" t="s">
        <v>20</v>
      </c>
      <c r="B65" s="136" t="s">
        <v>20</v>
      </c>
      <c r="C65" s="82">
        <v>74866</v>
      </c>
      <c r="D65" s="62">
        <v>0.42499999999999999</v>
      </c>
      <c r="E65" s="59">
        <v>1</v>
      </c>
      <c r="F65" s="63">
        <v>0</v>
      </c>
      <c r="G65" s="60">
        <f>F65/12</f>
        <v>0</v>
      </c>
      <c r="H65" s="64">
        <f>ROUND(C65*(1+D65)*E65*G65,0)</f>
        <v>0</v>
      </c>
      <c r="I65" s="142" t="s">
        <v>15</v>
      </c>
      <c r="J65" s="132"/>
      <c r="K65" s="96"/>
      <c r="L65" s="102"/>
    </row>
    <row r="66" spans="1:12" ht="21.75" customHeight="1" x14ac:dyDescent="0.2">
      <c r="A66" s="47"/>
      <c r="B66" s="1018" t="s">
        <v>39</v>
      </c>
      <c r="C66" s="1018"/>
      <c r="D66" s="1018"/>
      <c r="E66" s="1018"/>
      <c r="F66" s="1018"/>
      <c r="G66" s="1018"/>
      <c r="H66" s="1018"/>
      <c r="I66" s="1018"/>
      <c r="J66" s="1018"/>
      <c r="K66" s="100"/>
    </row>
    <row r="67" spans="1:12" ht="22.5" x14ac:dyDescent="0.2">
      <c r="A67" s="47" t="s">
        <v>13</v>
      </c>
      <c r="B67" s="58" t="s">
        <v>41</v>
      </c>
      <c r="C67" s="82">
        <v>79310.399999999994</v>
      </c>
      <c r="D67" s="62">
        <v>0.42499999999999999</v>
      </c>
      <c r="E67" s="59">
        <v>1</v>
      </c>
      <c r="F67" s="63">
        <v>5</v>
      </c>
      <c r="G67" s="60">
        <f>F67/12</f>
        <v>0.41666666666666669</v>
      </c>
      <c r="H67" s="64">
        <f>ROUND(C67*(1+D67)*E67*G67,0)</f>
        <v>47091</v>
      </c>
      <c r="I67" s="142" t="s">
        <v>15</v>
      </c>
      <c r="J67" s="132" t="s">
        <v>16</v>
      </c>
      <c r="K67" s="96"/>
      <c r="L67" s="102"/>
    </row>
    <row r="68" spans="1:12" x14ac:dyDescent="0.2">
      <c r="A68" s="47" t="s">
        <v>17</v>
      </c>
      <c r="B68" s="58" t="s">
        <v>17</v>
      </c>
      <c r="C68" s="82">
        <v>84069</v>
      </c>
      <c r="D68" s="62">
        <v>0.42499999999999999</v>
      </c>
      <c r="E68" s="59">
        <v>1</v>
      </c>
      <c r="F68" s="63">
        <v>12</v>
      </c>
      <c r="G68" s="60">
        <f>F68/12</f>
        <v>1</v>
      </c>
      <c r="H68" s="64">
        <f>ROUND(C68*(1+D68)*E68*G68,0)</f>
        <v>119798</v>
      </c>
      <c r="I68" s="142" t="s">
        <v>15</v>
      </c>
      <c r="J68" s="132"/>
      <c r="K68" s="96"/>
      <c r="L68" s="102"/>
    </row>
    <row r="69" spans="1:12" x14ac:dyDescent="0.2">
      <c r="A69" s="47" t="s">
        <v>18</v>
      </c>
      <c r="B69" s="58" t="s">
        <v>18</v>
      </c>
      <c r="C69" s="82">
        <v>89113</v>
      </c>
      <c r="D69" s="62">
        <v>0.42499999999999999</v>
      </c>
      <c r="E69" s="59">
        <v>1</v>
      </c>
      <c r="F69" s="63">
        <v>12</v>
      </c>
      <c r="G69" s="60">
        <f>F69/12</f>
        <v>1</v>
      </c>
      <c r="H69" s="64">
        <f>ROUND(C69*(1+D69)*E69*G69,0)</f>
        <v>126986</v>
      </c>
      <c r="I69" s="142" t="s">
        <v>15</v>
      </c>
      <c r="J69" s="132"/>
      <c r="K69" s="96"/>
      <c r="L69" s="102"/>
    </row>
    <row r="70" spans="1:12" x14ac:dyDescent="0.2">
      <c r="A70" s="47" t="s">
        <v>19</v>
      </c>
      <c r="B70" s="58" t="s">
        <v>19</v>
      </c>
      <c r="C70" s="82">
        <v>94460</v>
      </c>
      <c r="D70" s="62">
        <v>0.42499999999999999</v>
      </c>
      <c r="E70" s="59">
        <v>1</v>
      </c>
      <c r="F70" s="63">
        <v>11</v>
      </c>
      <c r="G70" s="60">
        <f>F70/12</f>
        <v>0.91666666666666663</v>
      </c>
      <c r="H70" s="64">
        <f>ROUND(C70*(1+D70)*E70*G70,0)</f>
        <v>123388</v>
      </c>
      <c r="I70" s="142" t="s">
        <v>15</v>
      </c>
      <c r="J70" s="132"/>
      <c r="K70" s="96"/>
      <c r="L70" s="102"/>
    </row>
    <row r="71" spans="1:12" x14ac:dyDescent="0.2">
      <c r="A71" s="47" t="s">
        <v>20</v>
      </c>
      <c r="B71" s="58" t="s">
        <v>20</v>
      </c>
      <c r="C71" s="82">
        <v>100128</v>
      </c>
      <c r="D71" s="62">
        <v>0.42499999999999999</v>
      </c>
      <c r="E71" s="59">
        <v>1</v>
      </c>
      <c r="F71" s="63">
        <v>0</v>
      </c>
      <c r="G71" s="60">
        <f>F71/12</f>
        <v>0</v>
      </c>
      <c r="H71" s="64">
        <f>ROUND(C71*(1+D71)*E71*G71,0)</f>
        <v>0</v>
      </c>
      <c r="I71" s="142" t="s">
        <v>15</v>
      </c>
      <c r="J71" s="132"/>
      <c r="K71" s="96"/>
      <c r="L71" s="102"/>
    </row>
    <row r="72" spans="1:12" x14ac:dyDescent="0.2">
      <c r="A72" s="47"/>
      <c r="B72" s="1018" t="s">
        <v>42</v>
      </c>
      <c r="C72" s="1018"/>
      <c r="D72" s="1018"/>
      <c r="E72" s="1018"/>
      <c r="F72" s="1018"/>
      <c r="G72" s="1018"/>
      <c r="H72" s="1018"/>
      <c r="I72" s="1018"/>
      <c r="J72" s="1018"/>
      <c r="K72" s="100"/>
    </row>
    <row r="73" spans="1:12" ht="22.5" x14ac:dyDescent="0.2">
      <c r="A73" s="47" t="s">
        <v>13</v>
      </c>
      <c r="B73" s="58" t="s">
        <v>43</v>
      </c>
      <c r="C73" s="82">
        <v>79310.399999999994</v>
      </c>
      <c r="D73" s="62">
        <v>0.42499999999999999</v>
      </c>
      <c r="E73" s="59">
        <v>1</v>
      </c>
      <c r="F73" s="63">
        <v>5</v>
      </c>
      <c r="G73" s="60">
        <f>F73/12</f>
        <v>0.41666666666666669</v>
      </c>
      <c r="H73" s="64">
        <f>ROUND(C73*(1+D73)*E73*G73,0)</f>
        <v>47091</v>
      </c>
      <c r="I73" s="142" t="s">
        <v>15</v>
      </c>
      <c r="J73" s="132" t="s">
        <v>16</v>
      </c>
      <c r="K73" s="96"/>
      <c r="L73" s="102"/>
    </row>
    <row r="74" spans="1:12" x14ac:dyDescent="0.2">
      <c r="A74" s="47" t="s">
        <v>17</v>
      </c>
      <c r="B74" s="58" t="s">
        <v>17</v>
      </c>
      <c r="C74" s="82">
        <v>84069</v>
      </c>
      <c r="D74" s="62">
        <v>0.42499999999999999</v>
      </c>
      <c r="E74" s="59">
        <v>1</v>
      </c>
      <c r="F74" s="63">
        <v>12</v>
      </c>
      <c r="G74" s="60">
        <f>F74/12</f>
        <v>1</v>
      </c>
      <c r="H74" s="64">
        <f>ROUND(C74*(1+D74)*E74*G74,0)</f>
        <v>119798</v>
      </c>
      <c r="I74" s="142" t="s">
        <v>15</v>
      </c>
      <c r="J74" s="132"/>
      <c r="K74" s="96"/>
      <c r="L74" s="102"/>
    </row>
    <row r="75" spans="1:12" x14ac:dyDescent="0.2">
      <c r="A75" s="47" t="s">
        <v>18</v>
      </c>
      <c r="B75" s="58" t="s">
        <v>18</v>
      </c>
      <c r="C75" s="82">
        <v>89113</v>
      </c>
      <c r="D75" s="62">
        <v>0.42499999999999999</v>
      </c>
      <c r="E75" s="59">
        <v>1</v>
      </c>
      <c r="F75" s="63">
        <v>12</v>
      </c>
      <c r="G75" s="60">
        <f>F75/12</f>
        <v>1</v>
      </c>
      <c r="H75" s="64">
        <f>ROUND(C75*(1+D75)*E75*G75,0)</f>
        <v>126986</v>
      </c>
      <c r="I75" s="142" t="s">
        <v>15</v>
      </c>
      <c r="J75" s="132"/>
      <c r="K75" s="96"/>
      <c r="L75" s="102"/>
    </row>
    <row r="76" spans="1:12" x14ac:dyDescent="0.2">
      <c r="A76" s="47" t="s">
        <v>19</v>
      </c>
      <c r="B76" s="58" t="s">
        <v>19</v>
      </c>
      <c r="C76" s="82">
        <v>94460</v>
      </c>
      <c r="D76" s="62">
        <v>0.42499999999999999</v>
      </c>
      <c r="E76" s="59">
        <v>1</v>
      </c>
      <c r="F76" s="63">
        <v>11</v>
      </c>
      <c r="G76" s="60">
        <f>F76/12</f>
        <v>0.91666666666666663</v>
      </c>
      <c r="H76" s="64">
        <f>ROUND(C76*(1+D76)*E76*G76,0)</f>
        <v>123388</v>
      </c>
      <c r="I76" s="142" t="s">
        <v>15</v>
      </c>
      <c r="J76" s="132"/>
      <c r="K76" s="96"/>
      <c r="L76" s="102"/>
    </row>
    <row r="77" spans="1:12" x14ac:dyDescent="0.2">
      <c r="A77" s="47" t="s">
        <v>20</v>
      </c>
      <c r="B77" s="58" t="s">
        <v>20</v>
      </c>
      <c r="C77" s="82">
        <v>100128</v>
      </c>
      <c r="D77" s="62">
        <v>0.42499999999999999</v>
      </c>
      <c r="E77" s="59">
        <v>1</v>
      </c>
      <c r="F77" s="63">
        <v>0</v>
      </c>
      <c r="G77" s="60">
        <f>F77/12</f>
        <v>0</v>
      </c>
      <c r="H77" s="64">
        <f>ROUND(C77*(1+D77)*E77*G77,0)</f>
        <v>0</v>
      </c>
      <c r="I77" s="142" t="s">
        <v>15</v>
      </c>
      <c r="J77" s="132"/>
      <c r="K77" s="96"/>
      <c r="L77" s="102"/>
    </row>
    <row r="78" spans="1:12" ht="11.25" customHeight="1" x14ac:dyDescent="0.2">
      <c r="A78" s="47"/>
      <c r="B78" s="1018" t="s">
        <v>42</v>
      </c>
      <c r="C78" s="1018"/>
      <c r="D78" s="1018"/>
      <c r="E78" s="1018"/>
      <c r="F78" s="1018"/>
      <c r="G78" s="1018"/>
      <c r="H78" s="1018"/>
      <c r="I78" s="1018"/>
      <c r="J78" s="1018"/>
      <c r="K78" s="100"/>
    </row>
    <row r="79" spans="1:12" ht="33.75" x14ac:dyDescent="0.2">
      <c r="A79" s="47" t="s">
        <v>13</v>
      </c>
      <c r="B79" s="58" t="s">
        <v>44</v>
      </c>
      <c r="C79" s="82">
        <v>76440</v>
      </c>
      <c r="D79" s="62">
        <v>0.42499999999999999</v>
      </c>
      <c r="E79" s="59">
        <v>1</v>
      </c>
      <c r="F79" s="63">
        <v>5</v>
      </c>
      <c r="G79" s="60">
        <f>F79/12</f>
        <v>0.41666666666666669</v>
      </c>
      <c r="H79" s="64">
        <f>ROUND(C79*(1+D79)*E79*G79,0)</f>
        <v>45386</v>
      </c>
      <c r="I79" s="142" t="s">
        <v>15</v>
      </c>
      <c r="J79" s="132" t="s">
        <v>16</v>
      </c>
      <c r="K79" s="104"/>
      <c r="L79" s="102"/>
    </row>
    <row r="80" spans="1:12" x14ac:dyDescent="0.2">
      <c r="A80" s="47" t="s">
        <v>17</v>
      </c>
      <c r="B80" s="58" t="s">
        <v>17</v>
      </c>
      <c r="C80" s="82">
        <v>81026</v>
      </c>
      <c r="D80" s="62">
        <v>0.42499999999999999</v>
      </c>
      <c r="E80" s="59">
        <v>1</v>
      </c>
      <c r="F80" s="63">
        <v>12</v>
      </c>
      <c r="G80" s="60">
        <f>F80/12</f>
        <v>1</v>
      </c>
      <c r="H80" s="64">
        <f>ROUND(C80*(1+D80)*E80*G80,0)</f>
        <v>115462</v>
      </c>
      <c r="I80" s="142" t="s">
        <v>15</v>
      </c>
      <c r="J80" s="132"/>
      <c r="K80" s="104"/>
      <c r="L80" s="102"/>
    </row>
    <row r="81" spans="1:12" x14ac:dyDescent="0.2">
      <c r="A81" s="47" t="s">
        <v>18</v>
      </c>
      <c r="B81" s="58" t="s">
        <v>18</v>
      </c>
      <c r="C81" s="82">
        <v>85888</v>
      </c>
      <c r="D81" s="62">
        <v>0.42499999999999999</v>
      </c>
      <c r="E81" s="59">
        <v>1</v>
      </c>
      <c r="F81" s="63">
        <v>12</v>
      </c>
      <c r="G81" s="60">
        <f>F81/12</f>
        <v>1</v>
      </c>
      <c r="H81" s="64">
        <f>ROUND(C81*(1+D81)*E81*G81,0)</f>
        <v>122390</v>
      </c>
      <c r="I81" s="142" t="s">
        <v>15</v>
      </c>
      <c r="J81" s="132"/>
      <c r="K81" s="104"/>
      <c r="L81" s="102"/>
    </row>
    <row r="82" spans="1:12" x14ac:dyDescent="0.2">
      <c r="A82" s="47" t="s">
        <v>19</v>
      </c>
      <c r="B82" s="58" t="s">
        <v>19</v>
      </c>
      <c r="C82" s="82">
        <v>91041</v>
      </c>
      <c r="D82" s="62">
        <v>0.42499999999999999</v>
      </c>
      <c r="E82" s="59">
        <v>1</v>
      </c>
      <c r="F82" s="63">
        <v>7</v>
      </c>
      <c r="G82" s="60">
        <f>F82/12</f>
        <v>0.58333333333333337</v>
      </c>
      <c r="H82" s="64">
        <f>ROUND(C82*(1+D82)*E82*G82,0)</f>
        <v>75678</v>
      </c>
      <c r="I82" s="142" t="s">
        <v>15</v>
      </c>
      <c r="J82" s="132"/>
      <c r="K82" s="104"/>
      <c r="L82" s="102"/>
    </row>
    <row r="83" spans="1:12" x14ac:dyDescent="0.2">
      <c r="A83" s="47" t="s">
        <v>20</v>
      </c>
      <c r="B83" s="58" t="s">
        <v>20</v>
      </c>
      <c r="C83" s="82">
        <v>96504</v>
      </c>
      <c r="D83" s="62">
        <v>0.42499999999999999</v>
      </c>
      <c r="E83" s="59">
        <v>1</v>
      </c>
      <c r="F83" s="63">
        <v>0</v>
      </c>
      <c r="G83" s="60">
        <f>F83/12</f>
        <v>0</v>
      </c>
      <c r="H83" s="64">
        <f>ROUND(C83*(1+D83)*E83*G83,0)</f>
        <v>0</v>
      </c>
      <c r="I83" s="142" t="s">
        <v>15</v>
      </c>
      <c r="J83" s="132"/>
      <c r="K83" s="104"/>
      <c r="L83" s="102"/>
    </row>
    <row r="84" spans="1:12" x14ac:dyDescent="0.2">
      <c r="A84" s="47"/>
      <c r="B84" s="1018" t="s">
        <v>42</v>
      </c>
      <c r="C84" s="1018"/>
      <c r="D84" s="1018"/>
      <c r="E84" s="1018"/>
      <c r="F84" s="1018"/>
      <c r="G84" s="1018"/>
      <c r="H84" s="1018"/>
      <c r="I84" s="1018"/>
      <c r="J84" s="1018"/>
      <c r="K84" s="100"/>
    </row>
    <row r="85" spans="1:12" ht="22.5" x14ac:dyDescent="0.2">
      <c r="A85" s="47" t="s">
        <v>13</v>
      </c>
      <c r="B85" s="58" t="s">
        <v>45</v>
      </c>
      <c r="C85" s="82">
        <v>86923.199999999997</v>
      </c>
      <c r="D85" s="62">
        <v>0.42499999999999999</v>
      </c>
      <c r="E85" s="59">
        <v>1</v>
      </c>
      <c r="F85" s="63">
        <v>5</v>
      </c>
      <c r="G85" s="60">
        <f>F85/12</f>
        <v>0.41666666666666669</v>
      </c>
      <c r="H85" s="64">
        <f>ROUND(C85*(1+D85)*E85*G85,0)</f>
        <v>51611</v>
      </c>
      <c r="I85" s="142" t="s">
        <v>15</v>
      </c>
      <c r="J85" s="132" t="s">
        <v>16</v>
      </c>
      <c r="K85" s="104"/>
      <c r="L85" s="102"/>
    </row>
    <row r="86" spans="1:12" x14ac:dyDescent="0.2">
      <c r="A86" s="47" t="s">
        <v>17</v>
      </c>
      <c r="B86" s="58" t="s">
        <v>17</v>
      </c>
      <c r="C86" s="82">
        <v>92139</v>
      </c>
      <c r="D86" s="62">
        <v>0.42499999999999999</v>
      </c>
      <c r="E86" s="59">
        <v>1</v>
      </c>
      <c r="F86" s="63">
        <v>12</v>
      </c>
      <c r="G86" s="60">
        <f>F86/12</f>
        <v>1</v>
      </c>
      <c r="H86" s="64">
        <f>ROUND(C86*(1+D86)*E86*G86,0)</f>
        <v>131298</v>
      </c>
      <c r="I86" s="142" t="s">
        <v>15</v>
      </c>
      <c r="J86" s="132"/>
      <c r="K86" s="104"/>
      <c r="L86" s="102"/>
    </row>
    <row r="87" spans="1:12" x14ac:dyDescent="0.2">
      <c r="A87" s="47" t="s">
        <v>18</v>
      </c>
      <c r="B87" s="58" t="s">
        <v>18</v>
      </c>
      <c r="C87" s="82">
        <v>97667</v>
      </c>
      <c r="D87" s="62">
        <v>0.42499999999999999</v>
      </c>
      <c r="E87" s="59">
        <v>1</v>
      </c>
      <c r="F87" s="63">
        <v>12</v>
      </c>
      <c r="G87" s="60">
        <f>F87/12</f>
        <v>1</v>
      </c>
      <c r="H87" s="64">
        <f>ROUND(C87*(1+D87)*E87*G87,0)</f>
        <v>139175</v>
      </c>
      <c r="I87" s="142" t="s">
        <v>15</v>
      </c>
      <c r="J87" s="132"/>
      <c r="K87" s="104"/>
      <c r="L87" s="102"/>
    </row>
    <row r="88" spans="1:12" x14ac:dyDescent="0.2">
      <c r="A88" s="47" t="s">
        <v>19</v>
      </c>
      <c r="B88" s="58" t="s">
        <v>19</v>
      </c>
      <c r="C88" s="82">
        <v>103527</v>
      </c>
      <c r="D88" s="62">
        <v>0.42499999999999999</v>
      </c>
      <c r="E88" s="59">
        <v>1</v>
      </c>
      <c r="F88" s="63">
        <v>10</v>
      </c>
      <c r="G88" s="60">
        <f>F88/12</f>
        <v>0.83333333333333337</v>
      </c>
      <c r="H88" s="64">
        <f>ROUND(C88*(1+D88)*E88*G88,0)</f>
        <v>122938</v>
      </c>
      <c r="I88" s="142" t="s">
        <v>15</v>
      </c>
      <c r="J88" s="132"/>
      <c r="K88" s="104"/>
      <c r="L88" s="102"/>
    </row>
    <row r="89" spans="1:12" x14ac:dyDescent="0.2">
      <c r="A89" s="47" t="s">
        <v>20</v>
      </c>
      <c r="B89" s="58" t="s">
        <v>20</v>
      </c>
      <c r="C89" s="82">
        <v>109739</v>
      </c>
      <c r="D89" s="62">
        <v>0.42499999999999999</v>
      </c>
      <c r="E89" s="59">
        <v>1</v>
      </c>
      <c r="F89" s="63">
        <v>0</v>
      </c>
      <c r="G89" s="60">
        <f>F89/12</f>
        <v>0</v>
      </c>
      <c r="H89" s="64">
        <f>ROUND(C89*(1+D89)*E89*G89,0)</f>
        <v>0</v>
      </c>
      <c r="I89" s="142" t="s">
        <v>15</v>
      </c>
      <c r="J89" s="132"/>
      <c r="K89" s="104"/>
      <c r="L89" s="102"/>
    </row>
    <row r="90" spans="1:12" x14ac:dyDescent="0.2">
      <c r="A90" s="47"/>
      <c r="B90" s="1018" t="s">
        <v>46</v>
      </c>
      <c r="C90" s="1018"/>
      <c r="D90" s="1018"/>
      <c r="E90" s="1018"/>
      <c r="F90" s="1018"/>
      <c r="G90" s="1018"/>
      <c r="H90" s="1018"/>
      <c r="I90" s="1018"/>
      <c r="J90" s="1018"/>
      <c r="K90" s="100"/>
    </row>
    <row r="91" spans="1:12" ht="22.5" x14ac:dyDescent="0.2">
      <c r="A91" s="47" t="s">
        <v>13</v>
      </c>
      <c r="B91" s="58" t="s">
        <v>47</v>
      </c>
      <c r="C91" s="82">
        <v>67350</v>
      </c>
      <c r="D91" s="62">
        <v>0.42499999999999999</v>
      </c>
      <c r="E91" s="59">
        <v>1</v>
      </c>
      <c r="F91" s="63">
        <v>5</v>
      </c>
      <c r="G91" s="60">
        <f>F91/12</f>
        <v>0.41666666666666669</v>
      </c>
      <c r="H91" s="64">
        <f>ROUND(C91*(1+D91)*E91*G91,0)</f>
        <v>39989</v>
      </c>
      <c r="I91" s="142" t="s">
        <v>15</v>
      </c>
      <c r="J91" s="132" t="s">
        <v>16</v>
      </c>
      <c r="K91" s="105"/>
      <c r="L91" s="102"/>
    </row>
    <row r="92" spans="1:12" x14ac:dyDescent="0.2">
      <c r="A92" s="47" t="s">
        <v>17</v>
      </c>
      <c r="B92" s="58" t="s">
        <v>17</v>
      </c>
      <c r="C92" s="82">
        <v>71391.42</v>
      </c>
      <c r="D92" s="62">
        <v>0.42499999999999999</v>
      </c>
      <c r="E92" s="59">
        <v>1</v>
      </c>
      <c r="F92" s="63">
        <v>12</v>
      </c>
      <c r="G92" s="60">
        <f>F92/12</f>
        <v>1</v>
      </c>
      <c r="H92" s="64">
        <f>ROUND(C92*(1+D92)*E92*G92,0)</f>
        <v>101733</v>
      </c>
      <c r="I92" s="142" t="s">
        <v>15</v>
      </c>
      <c r="J92" s="132"/>
      <c r="K92" s="105"/>
      <c r="L92" s="102"/>
    </row>
    <row r="93" spans="1:12" x14ac:dyDescent="0.2">
      <c r="A93" s="47" t="s">
        <v>18</v>
      </c>
      <c r="B93" s="58" t="s">
        <v>18</v>
      </c>
      <c r="C93" s="82">
        <v>75674.91</v>
      </c>
      <c r="D93" s="62">
        <v>0.42499999999999999</v>
      </c>
      <c r="E93" s="59">
        <v>1</v>
      </c>
      <c r="F93" s="63">
        <v>12</v>
      </c>
      <c r="G93" s="60">
        <f>F93/12</f>
        <v>1</v>
      </c>
      <c r="H93" s="64">
        <f>ROUND(C93*(1+D93)*E93*G93,0)</f>
        <v>107837</v>
      </c>
      <c r="I93" s="142" t="s">
        <v>15</v>
      </c>
      <c r="J93" s="132"/>
      <c r="K93" s="105"/>
      <c r="L93" s="102"/>
    </row>
    <row r="94" spans="1:12" x14ac:dyDescent="0.2">
      <c r="A94" s="47" t="s">
        <v>19</v>
      </c>
      <c r="B94" s="58" t="s">
        <v>19</v>
      </c>
      <c r="C94" s="82">
        <v>80215.399999999994</v>
      </c>
      <c r="D94" s="62">
        <v>0.42499999999999999</v>
      </c>
      <c r="E94" s="59">
        <v>1</v>
      </c>
      <c r="F94" s="63">
        <v>10</v>
      </c>
      <c r="G94" s="60">
        <f>F94/12</f>
        <v>0.83333333333333337</v>
      </c>
      <c r="H94" s="64">
        <f>ROUND(C94*(1+D94)*E94*G94,0)</f>
        <v>95256</v>
      </c>
      <c r="I94" s="142" t="s">
        <v>15</v>
      </c>
      <c r="J94" s="132"/>
      <c r="K94" s="105"/>
      <c r="L94" s="102"/>
    </row>
    <row r="95" spans="1:12" x14ac:dyDescent="0.2">
      <c r="A95" s="47" t="s">
        <v>20</v>
      </c>
      <c r="B95" s="58" t="s">
        <v>20</v>
      </c>
      <c r="C95" s="82">
        <v>85028.33</v>
      </c>
      <c r="D95" s="62">
        <v>0.42499999999999999</v>
      </c>
      <c r="E95" s="59">
        <v>1</v>
      </c>
      <c r="F95" s="63">
        <v>0</v>
      </c>
      <c r="G95" s="60">
        <f>F95/12</f>
        <v>0</v>
      </c>
      <c r="H95" s="64">
        <f>ROUND(C95*(1+D95)*E95*G95,0)</f>
        <v>0</v>
      </c>
      <c r="I95" s="142" t="s">
        <v>15</v>
      </c>
      <c r="J95" s="132"/>
      <c r="K95" s="105"/>
      <c r="L95" s="102"/>
    </row>
    <row r="96" spans="1:12" x14ac:dyDescent="0.2">
      <c r="A96" s="47"/>
      <c r="B96" s="1018" t="s">
        <v>46</v>
      </c>
      <c r="C96" s="1018"/>
      <c r="D96" s="1018"/>
      <c r="E96" s="1018"/>
      <c r="F96" s="1018"/>
      <c r="G96" s="1018"/>
      <c r="H96" s="1018"/>
      <c r="I96" s="1018"/>
      <c r="J96" s="1018"/>
      <c r="K96" s="100"/>
    </row>
    <row r="97" spans="1:12" ht="33.75" x14ac:dyDescent="0.2">
      <c r="A97" s="47" t="s">
        <v>13</v>
      </c>
      <c r="B97" s="58" t="s">
        <v>48</v>
      </c>
      <c r="C97" s="82">
        <v>72654</v>
      </c>
      <c r="D97" s="62">
        <v>0.42499999999999999</v>
      </c>
      <c r="E97" s="59">
        <v>1</v>
      </c>
      <c r="F97" s="63">
        <v>5</v>
      </c>
      <c r="G97" s="60">
        <f>F97/12</f>
        <v>0.41666666666666669</v>
      </c>
      <c r="H97" s="64">
        <f>ROUND(C97*(1+D97)*E97*G97,0)</f>
        <v>43138</v>
      </c>
      <c r="I97" s="142" t="s">
        <v>15</v>
      </c>
      <c r="J97" s="132" t="s">
        <v>16</v>
      </c>
      <c r="K97" s="105"/>
      <c r="L97" s="102"/>
    </row>
    <row r="98" spans="1:12" x14ac:dyDescent="0.2">
      <c r="A98" s="47" t="s">
        <v>17</v>
      </c>
      <c r="B98" s="58" t="s">
        <v>17</v>
      </c>
      <c r="C98" s="82">
        <v>77014</v>
      </c>
      <c r="D98" s="62">
        <v>0.42499999999999999</v>
      </c>
      <c r="E98" s="59">
        <v>1</v>
      </c>
      <c r="F98" s="63">
        <v>12</v>
      </c>
      <c r="G98" s="60">
        <f>F98/12</f>
        <v>1</v>
      </c>
      <c r="H98" s="64">
        <f>ROUND(C98*(1+D98)*E98*G98,0)</f>
        <v>109745</v>
      </c>
      <c r="I98" s="142" t="s">
        <v>15</v>
      </c>
      <c r="J98" s="132"/>
      <c r="K98" s="105"/>
      <c r="L98" s="102"/>
    </row>
    <row r="99" spans="1:12" x14ac:dyDescent="0.2">
      <c r="A99" s="47" t="s">
        <v>18</v>
      </c>
      <c r="B99" s="58" t="s">
        <v>18</v>
      </c>
      <c r="C99" s="82">
        <v>81634</v>
      </c>
      <c r="D99" s="62">
        <v>0.42499999999999999</v>
      </c>
      <c r="E99" s="59">
        <v>1</v>
      </c>
      <c r="F99" s="63">
        <v>12</v>
      </c>
      <c r="G99" s="60">
        <f>F99/12</f>
        <v>1</v>
      </c>
      <c r="H99" s="64">
        <f>ROUND(C99*(1+D99)*E99*G99,0)</f>
        <v>116328</v>
      </c>
      <c r="I99" s="142" t="s">
        <v>15</v>
      </c>
      <c r="J99" s="132"/>
      <c r="K99" s="105"/>
      <c r="L99" s="102"/>
    </row>
    <row r="100" spans="1:12" x14ac:dyDescent="0.2">
      <c r="A100" s="47" t="s">
        <v>19</v>
      </c>
      <c r="B100" s="58" t="s">
        <v>19</v>
      </c>
      <c r="C100" s="82">
        <v>86533</v>
      </c>
      <c r="D100" s="62">
        <v>0.42499999999999999</v>
      </c>
      <c r="E100" s="59">
        <v>1</v>
      </c>
      <c r="F100" s="63">
        <v>12</v>
      </c>
      <c r="G100" s="60">
        <f>F100/12</f>
        <v>1</v>
      </c>
      <c r="H100" s="64">
        <f>ROUND(C100*(1+D100)*E100*G100,0)</f>
        <v>123310</v>
      </c>
      <c r="I100" s="142" t="s">
        <v>15</v>
      </c>
      <c r="J100" s="132"/>
      <c r="K100" s="105"/>
      <c r="L100" s="102"/>
    </row>
    <row r="101" spans="1:12" x14ac:dyDescent="0.2">
      <c r="A101" s="47" t="s">
        <v>20</v>
      </c>
      <c r="B101" s="58" t="s">
        <v>20</v>
      </c>
      <c r="C101" s="82">
        <v>91725</v>
      </c>
      <c r="D101" s="62">
        <v>0.42499999999999999</v>
      </c>
      <c r="E101" s="59">
        <v>1</v>
      </c>
      <c r="F101" s="63">
        <v>0</v>
      </c>
      <c r="G101" s="60">
        <f>F101/12</f>
        <v>0</v>
      </c>
      <c r="H101" s="64">
        <f>ROUND(C101*(1+D101)*E101*G101,0)</f>
        <v>0</v>
      </c>
      <c r="I101" s="142" t="s">
        <v>15</v>
      </c>
      <c r="J101" s="132"/>
      <c r="K101" s="105"/>
      <c r="L101" s="102"/>
    </row>
    <row r="102" spans="1:12" x14ac:dyDescent="0.2">
      <c r="A102" s="47"/>
      <c r="B102" s="1018" t="s">
        <v>49</v>
      </c>
      <c r="C102" s="1018"/>
      <c r="D102" s="1018"/>
      <c r="E102" s="1018"/>
      <c r="F102" s="1018"/>
      <c r="G102" s="1018"/>
      <c r="H102" s="1018"/>
      <c r="I102" s="1018"/>
      <c r="J102" s="1018"/>
      <c r="K102" s="100"/>
    </row>
    <row r="103" spans="1:12" ht="22.5" x14ac:dyDescent="0.2">
      <c r="A103" s="47" t="s">
        <v>13</v>
      </c>
      <c r="B103" s="58" t="s">
        <v>50</v>
      </c>
      <c r="C103" s="52">
        <v>41330</v>
      </c>
      <c r="D103" s="53">
        <v>0.42499999999999999</v>
      </c>
      <c r="E103" s="59">
        <v>1</v>
      </c>
      <c r="F103" s="55">
        <v>0</v>
      </c>
      <c r="G103" s="60">
        <f>F103/12</f>
        <v>0</v>
      </c>
      <c r="H103" s="57">
        <f>ROUND(C103*(1+D103)*E103*G103,0)</f>
        <v>0</v>
      </c>
      <c r="I103" s="134" t="s">
        <v>26</v>
      </c>
      <c r="J103" s="132" t="s">
        <v>23</v>
      </c>
      <c r="K103" s="97"/>
    </row>
    <row r="104" spans="1:12" x14ac:dyDescent="0.2">
      <c r="A104" s="47" t="s">
        <v>17</v>
      </c>
      <c r="B104" s="58" t="s">
        <v>17</v>
      </c>
      <c r="C104" s="52">
        <v>43809</v>
      </c>
      <c r="D104" s="53">
        <v>0.42499999999999999</v>
      </c>
      <c r="E104" s="59">
        <v>1</v>
      </c>
      <c r="F104" s="55">
        <v>12</v>
      </c>
      <c r="G104" s="60">
        <f>F104/12</f>
        <v>1</v>
      </c>
      <c r="H104" s="57">
        <f>ROUND(C104*(1+D104)*E104*G104,0)</f>
        <v>62428</v>
      </c>
      <c r="I104" s="134" t="s">
        <v>26</v>
      </c>
      <c r="J104" s="132"/>
      <c r="K104" s="97"/>
    </row>
    <row r="105" spans="1:12" x14ac:dyDescent="0.2">
      <c r="A105" s="47" t="s">
        <v>18</v>
      </c>
      <c r="B105" s="58" t="s">
        <v>18</v>
      </c>
      <c r="C105" s="52">
        <v>46438</v>
      </c>
      <c r="D105" s="53">
        <v>0.42499999999999999</v>
      </c>
      <c r="E105" s="59">
        <v>1</v>
      </c>
      <c r="F105" s="55">
        <v>12</v>
      </c>
      <c r="G105" s="60">
        <f>F105/12</f>
        <v>1</v>
      </c>
      <c r="H105" s="57">
        <f>ROUND(C105*(1+D105)*E105*G105,0)</f>
        <v>66174</v>
      </c>
      <c r="I105" s="134" t="s">
        <v>26</v>
      </c>
      <c r="J105" s="132"/>
      <c r="K105" s="97"/>
    </row>
    <row r="106" spans="1:12" x14ac:dyDescent="0.2">
      <c r="A106" s="47" t="s">
        <v>19</v>
      </c>
      <c r="B106" s="58" t="s">
        <v>19</v>
      </c>
      <c r="C106" s="52">
        <v>49224</v>
      </c>
      <c r="D106" s="53">
        <v>0.42499999999999999</v>
      </c>
      <c r="E106" s="59">
        <v>1</v>
      </c>
      <c r="F106" s="55">
        <v>12</v>
      </c>
      <c r="G106" s="60">
        <f>F106/12</f>
        <v>1</v>
      </c>
      <c r="H106" s="57">
        <f>ROUND(C106*(1+D106)*E106*G106,0)</f>
        <v>70144</v>
      </c>
      <c r="I106" s="134" t="s">
        <v>26</v>
      </c>
      <c r="J106" s="132"/>
      <c r="K106" s="97"/>
    </row>
    <row r="107" spans="1:12" x14ac:dyDescent="0.2">
      <c r="A107" s="47" t="s">
        <v>20</v>
      </c>
      <c r="B107" s="58" t="s">
        <v>20</v>
      </c>
      <c r="C107" s="52">
        <v>53178</v>
      </c>
      <c r="D107" s="53">
        <v>0.42499999999999999</v>
      </c>
      <c r="E107" s="59">
        <v>1</v>
      </c>
      <c r="F107" s="55">
        <v>12</v>
      </c>
      <c r="G107" s="60">
        <f>F107/12</f>
        <v>1</v>
      </c>
      <c r="H107" s="57">
        <f>ROUND(C107*(1+D107)*E107*G107,0)</f>
        <v>75779</v>
      </c>
      <c r="I107" s="134" t="s">
        <v>26</v>
      </c>
      <c r="J107" s="132"/>
      <c r="K107" s="97"/>
    </row>
    <row r="108" spans="1:12" ht="53.25" customHeight="1" x14ac:dyDescent="0.2">
      <c r="A108" s="47"/>
      <c r="B108" s="1018" t="s">
        <v>51</v>
      </c>
      <c r="C108" s="1018"/>
      <c r="D108" s="1018"/>
      <c r="E108" s="1018"/>
      <c r="F108" s="1018"/>
      <c r="G108" s="1018"/>
      <c r="H108" s="1018"/>
      <c r="I108" s="1018"/>
      <c r="J108" s="1018"/>
      <c r="K108" s="98"/>
    </row>
    <row r="109" spans="1:12" ht="22.5" x14ac:dyDescent="0.2">
      <c r="A109" s="47" t="s">
        <v>13</v>
      </c>
      <c r="B109" s="58" t="s">
        <v>52</v>
      </c>
      <c r="C109" s="61">
        <v>106725</v>
      </c>
      <c r="D109" s="62">
        <v>0.42499999999999999</v>
      </c>
      <c r="E109" s="59">
        <v>1</v>
      </c>
      <c r="F109" s="63">
        <v>0</v>
      </c>
      <c r="G109" s="60">
        <f>F109/12</f>
        <v>0</v>
      </c>
      <c r="H109" s="64">
        <f>ROUND(C109*(1+D109)*E109*G109,0)</f>
        <v>0</v>
      </c>
      <c r="I109" s="134" t="s">
        <v>26</v>
      </c>
      <c r="J109" s="143" t="s">
        <v>16</v>
      </c>
      <c r="K109" s="99"/>
    </row>
    <row r="110" spans="1:12" x14ac:dyDescent="0.2">
      <c r="A110" s="47" t="s">
        <v>17</v>
      </c>
      <c r="B110" s="58" t="s">
        <v>17</v>
      </c>
      <c r="C110" s="61">
        <v>113128</v>
      </c>
      <c r="D110" s="62">
        <v>0.42499999999999999</v>
      </c>
      <c r="E110" s="59">
        <v>1</v>
      </c>
      <c r="F110" s="63">
        <v>6</v>
      </c>
      <c r="G110" s="60">
        <f>F110/12</f>
        <v>0.5</v>
      </c>
      <c r="H110" s="64">
        <f>ROUND(C110*(1+D110)*E110*G110,0)</f>
        <v>80604</v>
      </c>
      <c r="I110" s="134" t="s">
        <v>26</v>
      </c>
      <c r="J110" s="143"/>
      <c r="K110" s="99"/>
    </row>
    <row r="111" spans="1:12" x14ac:dyDescent="0.2">
      <c r="A111" s="47" t="s">
        <v>18</v>
      </c>
      <c r="B111" s="58" t="s">
        <v>18</v>
      </c>
      <c r="C111" s="61">
        <v>113128</v>
      </c>
      <c r="D111" s="62">
        <v>0.42499999999999999</v>
      </c>
      <c r="E111" s="59">
        <v>1</v>
      </c>
      <c r="F111" s="63">
        <v>12</v>
      </c>
      <c r="G111" s="60">
        <f>F111/12</f>
        <v>1</v>
      </c>
      <c r="H111" s="64">
        <f>ROUND(C111*(1+D111)*E111*G111,0)</f>
        <v>161207</v>
      </c>
      <c r="I111" s="134" t="s">
        <v>26</v>
      </c>
      <c r="J111" s="143"/>
      <c r="K111" s="99"/>
    </row>
    <row r="112" spans="1:12" x14ac:dyDescent="0.2">
      <c r="A112" s="47" t="s">
        <v>19</v>
      </c>
      <c r="B112" s="58" t="s">
        <v>19</v>
      </c>
      <c r="C112" s="61">
        <v>119916</v>
      </c>
      <c r="D112" s="62">
        <v>0.42499999999999999</v>
      </c>
      <c r="E112" s="59">
        <v>1</v>
      </c>
      <c r="F112" s="63">
        <v>12</v>
      </c>
      <c r="G112" s="60">
        <f>F112/12</f>
        <v>1</v>
      </c>
      <c r="H112" s="64">
        <f>ROUND(C112*(1+D112)*E112*G112,0)</f>
        <v>170880</v>
      </c>
      <c r="I112" s="134" t="s">
        <v>26</v>
      </c>
      <c r="J112" s="143"/>
      <c r="K112" s="99"/>
    </row>
    <row r="113" spans="1:12" x14ac:dyDescent="0.2">
      <c r="A113" s="47" t="s">
        <v>20</v>
      </c>
      <c r="B113" s="58" t="s">
        <v>20</v>
      </c>
      <c r="C113" s="61">
        <v>127111</v>
      </c>
      <c r="D113" s="62">
        <v>0.42499999999999999</v>
      </c>
      <c r="E113" s="59">
        <v>1</v>
      </c>
      <c r="F113" s="63">
        <v>12</v>
      </c>
      <c r="G113" s="60">
        <f>F113/12</f>
        <v>1</v>
      </c>
      <c r="H113" s="64">
        <f>ROUND(C113*(1+D113)*E113*G113,0)</f>
        <v>181133</v>
      </c>
      <c r="I113" s="134" t="s">
        <v>26</v>
      </c>
      <c r="J113" s="143"/>
      <c r="K113" s="99"/>
    </row>
    <row r="114" spans="1:12" x14ac:dyDescent="0.2">
      <c r="A114" s="47"/>
      <c r="B114" s="1018" t="s">
        <v>53</v>
      </c>
      <c r="C114" s="1018"/>
      <c r="D114" s="1018"/>
      <c r="E114" s="1018"/>
      <c r="F114" s="1018"/>
      <c r="G114" s="1018"/>
      <c r="H114" s="1018"/>
      <c r="I114" s="1018"/>
      <c r="J114" s="1018"/>
      <c r="K114" s="100"/>
    </row>
    <row r="115" spans="1:12" ht="22.5" x14ac:dyDescent="0.2">
      <c r="A115" s="47" t="s">
        <v>13</v>
      </c>
      <c r="B115" s="58" t="s">
        <v>54</v>
      </c>
      <c r="C115" s="82">
        <v>57761.599999999999</v>
      </c>
      <c r="D115" s="62">
        <v>0.42499999999999999</v>
      </c>
      <c r="E115" s="59">
        <v>1</v>
      </c>
      <c r="F115" s="63">
        <v>0</v>
      </c>
      <c r="G115" s="60">
        <f>F115/12</f>
        <v>0</v>
      </c>
      <c r="H115" s="64">
        <f>ROUND(C115*(1+D115)*E115*G115,0)</f>
        <v>0</v>
      </c>
      <c r="I115" s="134" t="s">
        <v>26</v>
      </c>
      <c r="J115" s="143" t="s">
        <v>16</v>
      </c>
      <c r="L115" s="102"/>
    </row>
    <row r="116" spans="1:12" x14ac:dyDescent="0.2">
      <c r="A116" s="47" t="s">
        <v>17</v>
      </c>
      <c r="B116" s="58" t="s">
        <v>17</v>
      </c>
      <c r="C116" s="82">
        <v>61227.3</v>
      </c>
      <c r="D116" s="62">
        <v>0.42499999999999999</v>
      </c>
      <c r="E116" s="59">
        <v>1</v>
      </c>
      <c r="F116" s="63">
        <v>6</v>
      </c>
      <c r="G116" s="60">
        <f>F116/12</f>
        <v>0.5</v>
      </c>
      <c r="H116" s="64">
        <f>ROUND(C116*(1+D116)*E116*G116,0)</f>
        <v>43624</v>
      </c>
      <c r="I116" s="134" t="s">
        <v>26</v>
      </c>
      <c r="J116" s="143"/>
      <c r="L116" s="102"/>
    </row>
    <row r="117" spans="1:12" x14ac:dyDescent="0.2">
      <c r="A117" s="47" t="s">
        <v>18</v>
      </c>
      <c r="B117" s="58" t="s">
        <v>18</v>
      </c>
      <c r="C117" s="82">
        <v>61227.3</v>
      </c>
      <c r="D117" s="62">
        <v>0.42499999999999999</v>
      </c>
      <c r="E117" s="59">
        <v>1</v>
      </c>
      <c r="F117" s="63">
        <v>12</v>
      </c>
      <c r="G117" s="60">
        <f>F117/12</f>
        <v>1</v>
      </c>
      <c r="H117" s="64">
        <f>ROUND(C117*(1+D117)*E117*G117,0)</f>
        <v>87249</v>
      </c>
      <c r="I117" s="134" t="s">
        <v>26</v>
      </c>
      <c r="J117" s="143"/>
      <c r="L117" s="102"/>
    </row>
    <row r="118" spans="1:12" x14ac:dyDescent="0.2">
      <c r="A118" s="47" t="s">
        <v>19</v>
      </c>
      <c r="B118" s="58" t="s">
        <v>19</v>
      </c>
      <c r="C118" s="82">
        <v>64900.93</v>
      </c>
      <c r="D118" s="62">
        <v>0.42499999999999999</v>
      </c>
      <c r="E118" s="59">
        <v>1</v>
      </c>
      <c r="F118" s="63">
        <v>12</v>
      </c>
      <c r="G118" s="60">
        <f>F118/12</f>
        <v>1</v>
      </c>
      <c r="H118" s="64">
        <f>ROUND(C118*(1+D118)*E118*G118,0)</f>
        <v>92484</v>
      </c>
      <c r="I118" s="134" t="s">
        <v>26</v>
      </c>
      <c r="J118" s="143"/>
      <c r="L118" s="102"/>
    </row>
    <row r="119" spans="1:12" x14ac:dyDescent="0.2">
      <c r="A119" s="47" t="s">
        <v>20</v>
      </c>
      <c r="B119" s="58" t="s">
        <v>20</v>
      </c>
      <c r="C119" s="82">
        <v>68794.990000000005</v>
      </c>
      <c r="D119" s="62">
        <v>0.42499999999999999</v>
      </c>
      <c r="E119" s="59">
        <v>1</v>
      </c>
      <c r="F119" s="63">
        <v>12</v>
      </c>
      <c r="G119" s="60">
        <f>F119/12</f>
        <v>1</v>
      </c>
      <c r="H119" s="64">
        <f>ROUND(C119*(1+D119)*E119*G119,0)</f>
        <v>98033</v>
      </c>
      <c r="I119" s="134" t="s">
        <v>26</v>
      </c>
      <c r="J119" s="143"/>
      <c r="L119" s="102"/>
    </row>
    <row r="120" spans="1:12" x14ac:dyDescent="0.2">
      <c r="A120" s="47"/>
      <c r="B120" s="1018" t="s">
        <v>55</v>
      </c>
      <c r="C120" s="1018"/>
      <c r="D120" s="1018"/>
      <c r="E120" s="1018"/>
      <c r="F120" s="1018"/>
      <c r="G120" s="1018"/>
      <c r="H120" s="1018"/>
      <c r="I120" s="1018"/>
      <c r="J120" s="1018"/>
      <c r="K120" s="100"/>
    </row>
    <row r="121" spans="1:12" ht="22.5" x14ac:dyDescent="0.2">
      <c r="A121" s="47" t="s">
        <v>13</v>
      </c>
      <c r="B121" s="58" t="s">
        <v>56</v>
      </c>
      <c r="C121" s="82">
        <v>57761.599999999999</v>
      </c>
      <c r="D121" s="62">
        <v>0.42499999999999999</v>
      </c>
      <c r="E121" s="59">
        <v>1</v>
      </c>
      <c r="F121" s="63">
        <v>0</v>
      </c>
      <c r="G121" s="60">
        <f>F121/12</f>
        <v>0</v>
      </c>
      <c r="H121" s="64">
        <f>ROUND(C121*(1+D121)*E121*G121,0)</f>
        <v>0</v>
      </c>
      <c r="I121" s="134" t="s">
        <v>26</v>
      </c>
      <c r="J121" s="143" t="s">
        <v>16</v>
      </c>
      <c r="L121" s="102"/>
    </row>
    <row r="122" spans="1:12" x14ac:dyDescent="0.2">
      <c r="A122" s="47" t="s">
        <v>17</v>
      </c>
      <c r="B122" s="58" t="s">
        <v>17</v>
      </c>
      <c r="C122" s="82">
        <v>61227.3</v>
      </c>
      <c r="D122" s="62">
        <v>0.42499999999999999</v>
      </c>
      <c r="E122" s="59">
        <v>1</v>
      </c>
      <c r="F122" s="63">
        <v>6</v>
      </c>
      <c r="G122" s="60">
        <f>F122/12</f>
        <v>0.5</v>
      </c>
      <c r="H122" s="64">
        <f>ROUND(C122*(1+D122)*E122*G122,0)</f>
        <v>43624</v>
      </c>
      <c r="I122" s="134" t="s">
        <v>26</v>
      </c>
      <c r="J122" s="143"/>
      <c r="L122" s="102"/>
    </row>
    <row r="123" spans="1:12" x14ac:dyDescent="0.2">
      <c r="A123" s="47" t="s">
        <v>18</v>
      </c>
      <c r="B123" s="58" t="s">
        <v>18</v>
      </c>
      <c r="C123" s="82">
        <v>61227.3</v>
      </c>
      <c r="D123" s="62">
        <v>0.42499999999999999</v>
      </c>
      <c r="E123" s="59">
        <v>1</v>
      </c>
      <c r="F123" s="63">
        <v>12</v>
      </c>
      <c r="G123" s="60">
        <f>F123/12</f>
        <v>1</v>
      </c>
      <c r="H123" s="64">
        <f>ROUND(C123*(1+D123)*E123*G123,0)</f>
        <v>87249</v>
      </c>
      <c r="I123" s="134" t="s">
        <v>26</v>
      </c>
      <c r="J123" s="143"/>
      <c r="L123" s="102"/>
    </row>
    <row r="124" spans="1:12" x14ac:dyDescent="0.2">
      <c r="A124" s="47" t="s">
        <v>19</v>
      </c>
      <c r="B124" s="58" t="s">
        <v>19</v>
      </c>
      <c r="C124" s="82">
        <v>64900.93</v>
      </c>
      <c r="D124" s="62">
        <v>0.42499999999999999</v>
      </c>
      <c r="E124" s="59">
        <v>1</v>
      </c>
      <c r="F124" s="63">
        <v>12</v>
      </c>
      <c r="G124" s="60">
        <f>F124/12</f>
        <v>1</v>
      </c>
      <c r="H124" s="64">
        <f>ROUND(C124*(1+D124)*E124*G124,0)</f>
        <v>92484</v>
      </c>
      <c r="I124" s="134" t="s">
        <v>26</v>
      </c>
      <c r="J124" s="143"/>
      <c r="L124" s="102"/>
    </row>
    <row r="125" spans="1:12" x14ac:dyDescent="0.2">
      <c r="A125" s="47" t="s">
        <v>20</v>
      </c>
      <c r="B125" s="58" t="s">
        <v>20</v>
      </c>
      <c r="C125" s="82">
        <v>68794.990000000005</v>
      </c>
      <c r="D125" s="62">
        <v>0.42499999999999999</v>
      </c>
      <c r="E125" s="59">
        <v>1</v>
      </c>
      <c r="F125" s="63">
        <v>12</v>
      </c>
      <c r="G125" s="60">
        <f>F125/12</f>
        <v>1</v>
      </c>
      <c r="H125" s="64">
        <f>ROUND(C125*(1+D125)*E125*G125,0)</f>
        <v>98033</v>
      </c>
      <c r="I125" s="134" t="s">
        <v>26</v>
      </c>
      <c r="J125" s="143"/>
      <c r="L125" s="102"/>
    </row>
    <row r="126" spans="1:12" x14ac:dyDescent="0.2">
      <c r="A126" s="47"/>
      <c r="B126" s="1018" t="s">
        <v>57</v>
      </c>
      <c r="C126" s="1018"/>
      <c r="D126" s="1018"/>
      <c r="E126" s="1018"/>
      <c r="F126" s="1018"/>
      <c r="G126" s="1018"/>
      <c r="H126" s="1018"/>
      <c r="I126" s="1018"/>
      <c r="J126" s="1018"/>
      <c r="K126" s="100"/>
    </row>
    <row r="127" spans="1:12" ht="22.5" x14ac:dyDescent="0.2">
      <c r="A127" s="47" t="s">
        <v>13</v>
      </c>
      <c r="B127" s="58" t="s">
        <v>58</v>
      </c>
      <c r="C127" s="82">
        <v>57761.599999999999</v>
      </c>
      <c r="D127" s="62">
        <v>0.42499999999999999</v>
      </c>
      <c r="E127" s="59">
        <v>1</v>
      </c>
      <c r="F127" s="63">
        <v>0</v>
      </c>
      <c r="G127" s="60">
        <f>F127/12</f>
        <v>0</v>
      </c>
      <c r="H127" s="64">
        <f>ROUND(C127*(1+D127)*E127*G127,0)</f>
        <v>0</v>
      </c>
      <c r="I127" s="134" t="s">
        <v>26</v>
      </c>
      <c r="J127" s="143" t="s">
        <v>16</v>
      </c>
      <c r="L127" s="102"/>
    </row>
    <row r="128" spans="1:12" x14ac:dyDescent="0.2">
      <c r="A128" s="47" t="s">
        <v>17</v>
      </c>
      <c r="B128" s="58" t="s">
        <v>17</v>
      </c>
      <c r="C128" s="82">
        <v>61227.3</v>
      </c>
      <c r="D128" s="62">
        <v>0.42499999999999999</v>
      </c>
      <c r="E128" s="59">
        <v>1</v>
      </c>
      <c r="F128" s="63">
        <v>6</v>
      </c>
      <c r="G128" s="60">
        <f>F128/12</f>
        <v>0.5</v>
      </c>
      <c r="H128" s="64">
        <f>ROUND(C128*(1+D128)*E128*G128,0)</f>
        <v>43624</v>
      </c>
      <c r="I128" s="134" t="s">
        <v>26</v>
      </c>
      <c r="J128" s="143"/>
      <c r="L128" s="102"/>
    </row>
    <row r="129" spans="1:12" x14ac:dyDescent="0.2">
      <c r="A129" s="47" t="s">
        <v>18</v>
      </c>
      <c r="B129" s="58" t="s">
        <v>18</v>
      </c>
      <c r="C129" s="82">
        <v>61227.3</v>
      </c>
      <c r="D129" s="62">
        <v>0.42499999999999999</v>
      </c>
      <c r="E129" s="59">
        <v>1</v>
      </c>
      <c r="F129" s="63">
        <v>12</v>
      </c>
      <c r="G129" s="60">
        <f>F129/12</f>
        <v>1</v>
      </c>
      <c r="H129" s="64">
        <f>ROUND(C129*(1+D129)*E129*G129,0)</f>
        <v>87249</v>
      </c>
      <c r="I129" s="134" t="s">
        <v>26</v>
      </c>
      <c r="J129" s="143"/>
      <c r="L129" s="102"/>
    </row>
    <row r="130" spans="1:12" x14ac:dyDescent="0.2">
      <c r="A130" s="47" t="s">
        <v>19</v>
      </c>
      <c r="B130" s="58" t="s">
        <v>19</v>
      </c>
      <c r="C130" s="82">
        <v>64900.93</v>
      </c>
      <c r="D130" s="62">
        <v>0.42499999999999999</v>
      </c>
      <c r="E130" s="59">
        <v>1</v>
      </c>
      <c r="F130" s="63">
        <v>12</v>
      </c>
      <c r="G130" s="60">
        <f>F130/12</f>
        <v>1</v>
      </c>
      <c r="H130" s="64">
        <f>ROUND(C130*(1+D130)*E130*G130,0)</f>
        <v>92484</v>
      </c>
      <c r="I130" s="134" t="s">
        <v>26</v>
      </c>
      <c r="J130" s="143"/>
      <c r="L130" s="102"/>
    </row>
    <row r="131" spans="1:12" x14ac:dyDescent="0.2">
      <c r="A131" s="47" t="s">
        <v>20</v>
      </c>
      <c r="B131" s="58" t="s">
        <v>20</v>
      </c>
      <c r="C131" s="82">
        <v>68794.990000000005</v>
      </c>
      <c r="D131" s="62">
        <v>0.42499999999999999</v>
      </c>
      <c r="E131" s="59">
        <v>1</v>
      </c>
      <c r="F131" s="63">
        <v>12</v>
      </c>
      <c r="G131" s="60">
        <f>F131/12</f>
        <v>1</v>
      </c>
      <c r="H131" s="64">
        <f>ROUND(C131*(1+D131)*E131*G131,0)</f>
        <v>98033</v>
      </c>
      <c r="I131" s="134" t="s">
        <v>26</v>
      </c>
      <c r="J131" s="143"/>
      <c r="L131" s="102"/>
    </row>
    <row r="132" spans="1:12" x14ac:dyDescent="0.2">
      <c r="A132" s="47"/>
      <c r="B132" s="1018" t="s">
        <v>57</v>
      </c>
      <c r="C132" s="1018"/>
      <c r="D132" s="1018"/>
      <c r="E132" s="1018"/>
      <c r="F132" s="1018"/>
      <c r="G132" s="1018"/>
      <c r="H132" s="1018"/>
      <c r="I132" s="1018"/>
      <c r="J132" s="1018"/>
      <c r="K132" s="100"/>
    </row>
    <row r="133" spans="1:12" ht="22.5" x14ac:dyDescent="0.2">
      <c r="A133" s="47" t="s">
        <v>13</v>
      </c>
      <c r="B133" s="58" t="s">
        <v>59</v>
      </c>
      <c r="C133" s="52">
        <v>79304</v>
      </c>
      <c r="D133" s="53">
        <v>0.42499999999999999</v>
      </c>
      <c r="E133" s="59">
        <v>1</v>
      </c>
      <c r="F133" s="55">
        <v>9</v>
      </c>
      <c r="G133" s="60">
        <f>F133/12</f>
        <v>0.75</v>
      </c>
      <c r="H133" s="64">
        <f>ROUND(C133*(1+D133)*E133*G133,0)</f>
        <v>84756</v>
      </c>
      <c r="I133" s="134" t="s">
        <v>15</v>
      </c>
      <c r="J133" s="132" t="s">
        <v>23</v>
      </c>
      <c r="K133" s="97"/>
    </row>
    <row r="134" spans="1:12" x14ac:dyDescent="0.2">
      <c r="A134" s="47" t="s">
        <v>17</v>
      </c>
      <c r="B134" s="58" t="s">
        <v>17</v>
      </c>
      <c r="C134" s="52">
        <v>84062</v>
      </c>
      <c r="D134" s="53">
        <v>0.42499999999999999</v>
      </c>
      <c r="E134" s="59">
        <v>1</v>
      </c>
      <c r="F134" s="55">
        <v>12</v>
      </c>
      <c r="G134" s="60">
        <f>F134/12</f>
        <v>1</v>
      </c>
      <c r="H134" s="57">
        <f>ROUND(C134*(1+D134)*E134*G134,0)</f>
        <v>119788</v>
      </c>
      <c r="I134" s="134" t="s">
        <v>15</v>
      </c>
      <c r="J134" s="132"/>
      <c r="K134" s="97"/>
    </row>
    <row r="135" spans="1:12" x14ac:dyDescent="0.2">
      <c r="A135" s="47" t="s">
        <v>18</v>
      </c>
      <c r="B135" s="58" t="s">
        <v>18</v>
      </c>
      <c r="C135" s="52">
        <v>89106</v>
      </c>
      <c r="D135" s="53">
        <v>0.42499999999999999</v>
      </c>
      <c r="E135" s="59">
        <v>1</v>
      </c>
      <c r="F135" s="55">
        <v>12</v>
      </c>
      <c r="G135" s="60">
        <f>F135/12</f>
        <v>1</v>
      </c>
      <c r="H135" s="57">
        <f>ROUND(C135*(1+D135)*E135*G135,0)</f>
        <v>126976</v>
      </c>
      <c r="I135" s="134" t="s">
        <v>15</v>
      </c>
      <c r="J135" s="132"/>
      <c r="K135" s="97"/>
    </row>
    <row r="136" spans="1:12" x14ac:dyDescent="0.2">
      <c r="A136" s="47" t="s">
        <v>19</v>
      </c>
      <c r="B136" s="58" t="s">
        <v>19</v>
      </c>
      <c r="C136" s="52">
        <v>94452</v>
      </c>
      <c r="D136" s="53">
        <v>0.42499999999999999</v>
      </c>
      <c r="E136" s="59">
        <v>1</v>
      </c>
      <c r="F136" s="55">
        <v>12</v>
      </c>
      <c r="G136" s="60">
        <f>F136/12</f>
        <v>1</v>
      </c>
      <c r="H136" s="57">
        <f>ROUND(C136*(1+D136)*E136*G136,0)</f>
        <v>134594</v>
      </c>
      <c r="I136" s="134" t="s">
        <v>15</v>
      </c>
      <c r="J136" s="132"/>
      <c r="K136" s="97"/>
    </row>
    <row r="137" spans="1:12" x14ac:dyDescent="0.2">
      <c r="A137" s="47" t="s">
        <v>20</v>
      </c>
      <c r="B137" s="58" t="s">
        <v>20</v>
      </c>
      <c r="C137" s="52">
        <v>100119</v>
      </c>
      <c r="D137" s="53">
        <v>0.42499999999999999</v>
      </c>
      <c r="E137" s="59">
        <v>1</v>
      </c>
      <c r="F137" s="55">
        <v>12</v>
      </c>
      <c r="G137" s="60">
        <f>F137/12</f>
        <v>1</v>
      </c>
      <c r="H137" s="57">
        <f>ROUND(C137*(1+D137)*E137*G137,0)</f>
        <v>142670</v>
      </c>
      <c r="I137" s="134" t="s">
        <v>15</v>
      </c>
      <c r="J137" s="132"/>
      <c r="K137" s="97"/>
    </row>
    <row r="138" spans="1:12" x14ac:dyDescent="0.2">
      <c r="A138" s="47"/>
      <c r="B138" s="1019" t="s">
        <v>60</v>
      </c>
      <c r="C138" s="1019"/>
      <c r="D138" s="1019"/>
      <c r="E138" s="1019"/>
      <c r="F138" s="1019"/>
      <c r="G138" s="1019"/>
      <c r="H138" s="1019"/>
      <c r="I138" s="144"/>
      <c r="J138" s="145"/>
      <c r="K138" s="98"/>
    </row>
    <row r="139" spans="1:12" ht="22.5" x14ac:dyDescent="0.2">
      <c r="A139" s="47" t="s">
        <v>13</v>
      </c>
      <c r="B139" s="58" t="s">
        <v>61</v>
      </c>
      <c r="C139" s="52">
        <v>43576</v>
      </c>
      <c r="D139" s="53">
        <v>0.42499999999999999</v>
      </c>
      <c r="E139" s="59">
        <v>1</v>
      </c>
      <c r="F139" s="55">
        <v>0</v>
      </c>
      <c r="G139" s="60">
        <f>F139/12</f>
        <v>0</v>
      </c>
      <c r="H139" s="64">
        <f>ROUND(C139*(1+D139)*E139*G139,0)</f>
        <v>0</v>
      </c>
      <c r="I139" s="134" t="s">
        <v>15</v>
      </c>
      <c r="J139" s="132" t="s">
        <v>16</v>
      </c>
      <c r="K139" s="97"/>
    </row>
    <row r="140" spans="1:12" x14ac:dyDescent="0.2">
      <c r="A140" s="47" t="s">
        <v>17</v>
      </c>
      <c r="B140" s="58" t="s">
        <v>17</v>
      </c>
      <c r="C140" s="52">
        <v>46191</v>
      </c>
      <c r="D140" s="53">
        <v>0.42499999999999999</v>
      </c>
      <c r="E140" s="59">
        <v>1</v>
      </c>
      <c r="F140" s="55">
        <v>9</v>
      </c>
      <c r="G140" s="60">
        <f>F140/12</f>
        <v>0.75</v>
      </c>
      <c r="H140" s="57">
        <f>ROUND(C140*(1+D140)*E140*G140,0)</f>
        <v>49367</v>
      </c>
      <c r="I140" s="134" t="s">
        <v>15</v>
      </c>
      <c r="J140" s="132"/>
      <c r="K140" s="97"/>
    </row>
    <row r="141" spans="1:12" x14ac:dyDescent="0.2">
      <c r="A141" s="47" t="s">
        <v>18</v>
      </c>
      <c r="B141" s="58" t="s">
        <v>18</v>
      </c>
      <c r="C141" s="52">
        <v>48962</v>
      </c>
      <c r="D141" s="53">
        <v>0.42499999999999999</v>
      </c>
      <c r="E141" s="59">
        <v>1</v>
      </c>
      <c r="F141" s="55">
        <v>12</v>
      </c>
      <c r="G141" s="60">
        <f>F141/12</f>
        <v>1</v>
      </c>
      <c r="H141" s="57">
        <f>ROUND(C141*(1+D141)*E141*G141,0)</f>
        <v>69771</v>
      </c>
      <c r="I141" s="134" t="s">
        <v>15</v>
      </c>
      <c r="J141" s="132"/>
      <c r="K141" s="97"/>
    </row>
    <row r="142" spans="1:12" x14ac:dyDescent="0.2">
      <c r="A142" s="47" t="s">
        <v>19</v>
      </c>
      <c r="B142" s="58" t="s">
        <v>19</v>
      </c>
      <c r="C142" s="52">
        <v>51900</v>
      </c>
      <c r="D142" s="53">
        <v>0.42499999999999999</v>
      </c>
      <c r="E142" s="59">
        <v>1</v>
      </c>
      <c r="F142" s="55">
        <v>12</v>
      </c>
      <c r="G142" s="60">
        <f>F142/12</f>
        <v>1</v>
      </c>
      <c r="H142" s="57">
        <f>ROUND(C142*(1+D142)*E142*G142,0)</f>
        <v>73958</v>
      </c>
      <c r="I142" s="134" t="s">
        <v>15</v>
      </c>
      <c r="J142" s="132"/>
      <c r="K142" s="97"/>
    </row>
    <row r="143" spans="1:12" x14ac:dyDescent="0.2">
      <c r="A143" s="47" t="s">
        <v>20</v>
      </c>
      <c r="B143" s="58" t="s">
        <v>20</v>
      </c>
      <c r="C143" s="52">
        <v>55014</v>
      </c>
      <c r="D143" s="53">
        <v>0.42499999999999999</v>
      </c>
      <c r="E143" s="59">
        <v>1</v>
      </c>
      <c r="F143" s="55">
        <v>12</v>
      </c>
      <c r="G143" s="60">
        <f>F143/12</f>
        <v>1</v>
      </c>
      <c r="H143" s="57">
        <f>ROUND(C143*(1+D143)*E143*G143,0)</f>
        <v>78395</v>
      </c>
      <c r="I143" s="134" t="s">
        <v>15</v>
      </c>
      <c r="J143" s="132"/>
      <c r="K143" s="97"/>
    </row>
    <row r="144" spans="1:12" x14ac:dyDescent="0.2">
      <c r="A144" s="47"/>
      <c r="B144" s="1018" t="s">
        <v>62</v>
      </c>
      <c r="C144" s="1018"/>
      <c r="D144" s="1018"/>
      <c r="E144" s="1018"/>
      <c r="F144" s="1018"/>
      <c r="G144" s="1018"/>
      <c r="H144" s="1018"/>
      <c r="I144" s="1018"/>
      <c r="J144" s="1018"/>
      <c r="K144" s="98"/>
    </row>
    <row r="145" spans="1:11" x14ac:dyDescent="0.2">
      <c r="A145" s="47" t="s">
        <v>13</v>
      </c>
      <c r="B145" s="146" t="s">
        <v>63</v>
      </c>
      <c r="C145" s="52">
        <v>88428</v>
      </c>
      <c r="D145" s="53">
        <v>0.42499999999999999</v>
      </c>
      <c r="E145" s="59">
        <v>1</v>
      </c>
      <c r="F145" s="55">
        <v>9</v>
      </c>
      <c r="G145" s="60">
        <f>F145/12</f>
        <v>0.75</v>
      </c>
      <c r="H145" s="64">
        <f>ROUND(C145*(1+D145)*E145*G145,0)</f>
        <v>94507</v>
      </c>
      <c r="I145" s="134" t="s">
        <v>15</v>
      </c>
      <c r="J145" s="132" t="s">
        <v>16</v>
      </c>
      <c r="K145" s="97"/>
    </row>
    <row r="146" spans="1:11" x14ac:dyDescent="0.2">
      <c r="A146" s="47" t="s">
        <v>17</v>
      </c>
      <c r="B146" s="58" t="s">
        <v>17</v>
      </c>
      <c r="C146" s="52">
        <v>93402</v>
      </c>
      <c r="D146" s="53">
        <v>0.42499999999999999</v>
      </c>
      <c r="E146" s="59">
        <v>1</v>
      </c>
      <c r="F146" s="55">
        <v>12</v>
      </c>
      <c r="G146" s="60">
        <f>F146/12</f>
        <v>1</v>
      </c>
      <c r="H146" s="57">
        <f>ROUND(C146*(1+D146)*E146*G146,0)</f>
        <v>133098</v>
      </c>
      <c r="I146" s="134" t="s">
        <v>15</v>
      </c>
      <c r="J146" s="132"/>
      <c r="K146" s="97"/>
    </row>
    <row r="147" spans="1:11" x14ac:dyDescent="0.2">
      <c r="A147" s="47" t="s">
        <v>18</v>
      </c>
      <c r="B147" s="58" t="s">
        <v>18</v>
      </c>
      <c r="C147" s="52">
        <v>99006</v>
      </c>
      <c r="D147" s="53">
        <v>0.42499999999999999</v>
      </c>
      <c r="E147" s="59">
        <v>1</v>
      </c>
      <c r="F147" s="55">
        <v>12</v>
      </c>
      <c r="G147" s="60">
        <f>F147/12</f>
        <v>1</v>
      </c>
      <c r="H147" s="57">
        <f>ROUND(C147*(1+D147)*E147*G147,0)</f>
        <v>141084</v>
      </c>
      <c r="I147" s="134" t="s">
        <v>15</v>
      </c>
      <c r="J147" s="132"/>
      <c r="K147" s="97"/>
    </row>
    <row r="148" spans="1:11" x14ac:dyDescent="0.2">
      <c r="A148" s="47" t="s">
        <v>19</v>
      </c>
      <c r="B148" s="58" t="s">
        <v>19</v>
      </c>
      <c r="C148" s="52">
        <v>104947</v>
      </c>
      <c r="D148" s="53">
        <v>0.42499999999999999</v>
      </c>
      <c r="E148" s="59">
        <v>1</v>
      </c>
      <c r="F148" s="55">
        <v>12</v>
      </c>
      <c r="G148" s="60">
        <f>F148/12</f>
        <v>1</v>
      </c>
      <c r="H148" s="57">
        <f>ROUND(C148*(1+D148)*E148*G148,0)</f>
        <v>149549</v>
      </c>
      <c r="I148" s="134" t="s">
        <v>15</v>
      </c>
      <c r="J148" s="132"/>
      <c r="K148" s="97"/>
    </row>
    <row r="149" spans="1:11" x14ac:dyDescent="0.2">
      <c r="A149" s="47" t="s">
        <v>20</v>
      </c>
      <c r="B149" s="58" t="s">
        <v>20</v>
      </c>
      <c r="C149" s="52">
        <v>111244</v>
      </c>
      <c r="D149" s="53">
        <v>0.42499999999999999</v>
      </c>
      <c r="E149" s="59">
        <v>1</v>
      </c>
      <c r="F149" s="55">
        <v>12</v>
      </c>
      <c r="G149" s="60">
        <f>F149/12</f>
        <v>1</v>
      </c>
      <c r="H149" s="57">
        <f>ROUND(C149*(1+D149)*E149*G149,0)</f>
        <v>158523</v>
      </c>
      <c r="I149" s="134" t="s">
        <v>15</v>
      </c>
      <c r="J149" s="132"/>
      <c r="K149" s="97"/>
    </row>
    <row r="150" spans="1:11" x14ac:dyDescent="0.2">
      <c r="A150" s="47"/>
      <c r="B150" s="1018" t="s">
        <v>64</v>
      </c>
      <c r="C150" s="1018"/>
      <c r="D150" s="1018"/>
      <c r="E150" s="1018"/>
      <c r="F150" s="1018"/>
      <c r="G150" s="1018"/>
      <c r="H150" s="1018"/>
      <c r="I150" s="1018"/>
      <c r="J150" s="1018"/>
      <c r="K150" s="98"/>
    </row>
    <row r="151" spans="1:11" x14ac:dyDescent="0.2">
      <c r="A151" s="47" t="s">
        <v>13</v>
      </c>
      <c r="B151" s="146" t="s">
        <v>65</v>
      </c>
      <c r="C151" s="52">
        <v>88428</v>
      </c>
      <c r="D151" s="53">
        <v>0.42499999999999999</v>
      </c>
      <c r="E151" s="59">
        <v>1</v>
      </c>
      <c r="F151" s="55">
        <v>9</v>
      </c>
      <c r="G151" s="60">
        <f>F151/12</f>
        <v>0.75</v>
      </c>
      <c r="H151" s="64">
        <f>ROUND(C151*(1+D151)*E151*G151,0)</f>
        <v>94507</v>
      </c>
      <c r="I151" s="134" t="s">
        <v>15</v>
      </c>
      <c r="J151" s="132" t="s">
        <v>16</v>
      </c>
      <c r="K151" s="97"/>
    </row>
    <row r="152" spans="1:11" x14ac:dyDescent="0.2">
      <c r="A152" s="47" t="s">
        <v>17</v>
      </c>
      <c r="B152" s="58" t="s">
        <v>17</v>
      </c>
      <c r="C152" s="52">
        <v>93402</v>
      </c>
      <c r="D152" s="53">
        <v>0.42499999999999999</v>
      </c>
      <c r="E152" s="59">
        <v>1</v>
      </c>
      <c r="F152" s="55">
        <v>12</v>
      </c>
      <c r="G152" s="60">
        <f>F152/12</f>
        <v>1</v>
      </c>
      <c r="H152" s="57">
        <f>ROUND(C152*(1+D152)*E152*G152,0)</f>
        <v>133098</v>
      </c>
      <c r="I152" s="134" t="s">
        <v>15</v>
      </c>
      <c r="J152" s="132"/>
      <c r="K152" s="97"/>
    </row>
    <row r="153" spans="1:11" x14ac:dyDescent="0.2">
      <c r="A153" s="47" t="s">
        <v>18</v>
      </c>
      <c r="B153" s="58" t="s">
        <v>18</v>
      </c>
      <c r="C153" s="52">
        <v>99006</v>
      </c>
      <c r="D153" s="53">
        <v>0.42499999999999999</v>
      </c>
      <c r="E153" s="59">
        <v>1</v>
      </c>
      <c r="F153" s="55">
        <v>12</v>
      </c>
      <c r="G153" s="60">
        <f>F153/12</f>
        <v>1</v>
      </c>
      <c r="H153" s="57">
        <f>ROUND(C153*(1+D153)*E153*G153,0)</f>
        <v>141084</v>
      </c>
      <c r="I153" s="134" t="s">
        <v>15</v>
      </c>
      <c r="J153" s="132"/>
      <c r="K153" s="97"/>
    </row>
    <row r="154" spans="1:11" x14ac:dyDescent="0.2">
      <c r="A154" s="47" t="s">
        <v>19</v>
      </c>
      <c r="B154" s="58" t="s">
        <v>19</v>
      </c>
      <c r="C154" s="52">
        <v>104947</v>
      </c>
      <c r="D154" s="53">
        <v>0.42499999999999999</v>
      </c>
      <c r="E154" s="59">
        <v>1</v>
      </c>
      <c r="F154" s="55">
        <v>12</v>
      </c>
      <c r="G154" s="60">
        <f>F154/12</f>
        <v>1</v>
      </c>
      <c r="H154" s="57">
        <f>ROUND(C154*(1+D154)*E154*G154,0)</f>
        <v>149549</v>
      </c>
      <c r="I154" s="134" t="s">
        <v>15</v>
      </c>
      <c r="J154" s="132"/>
      <c r="K154" s="97"/>
    </row>
    <row r="155" spans="1:11" x14ac:dyDescent="0.2">
      <c r="A155" s="47" t="s">
        <v>20</v>
      </c>
      <c r="B155" s="58" t="s">
        <v>20</v>
      </c>
      <c r="C155" s="52">
        <v>111244</v>
      </c>
      <c r="D155" s="53">
        <v>0.42499999999999999</v>
      </c>
      <c r="E155" s="59">
        <v>1</v>
      </c>
      <c r="F155" s="55">
        <v>12</v>
      </c>
      <c r="G155" s="60">
        <f>F155/12</f>
        <v>1</v>
      </c>
      <c r="H155" s="57">
        <f>ROUND(C155*(1+D155)*E155*G155,0)</f>
        <v>158523</v>
      </c>
      <c r="I155" s="134" t="s">
        <v>15</v>
      </c>
      <c r="J155" s="132"/>
      <c r="K155" s="97"/>
    </row>
    <row r="156" spans="1:11" x14ac:dyDescent="0.2">
      <c r="A156" s="47"/>
      <c r="B156" s="1018" t="s">
        <v>64</v>
      </c>
      <c r="C156" s="1018"/>
      <c r="D156" s="1018"/>
      <c r="E156" s="1018"/>
      <c r="F156" s="1018"/>
      <c r="G156" s="1018"/>
      <c r="H156" s="1018"/>
      <c r="I156" s="1018"/>
      <c r="J156" s="1018"/>
      <c r="K156" s="98"/>
    </row>
    <row r="157" spans="1:11" x14ac:dyDescent="0.2">
      <c r="A157" s="47" t="s">
        <v>13</v>
      </c>
      <c r="B157" s="146" t="s">
        <v>66</v>
      </c>
      <c r="C157" s="52">
        <v>88428</v>
      </c>
      <c r="D157" s="53">
        <v>0.42499999999999999</v>
      </c>
      <c r="E157" s="59">
        <v>0.77500000000000002</v>
      </c>
      <c r="F157" s="55">
        <v>9</v>
      </c>
      <c r="G157" s="60">
        <f>F157/12</f>
        <v>0.75</v>
      </c>
      <c r="H157" s="64">
        <f>ROUND(C157*(1+D157)*E157*G157,0)</f>
        <v>73243</v>
      </c>
      <c r="I157" s="134" t="s">
        <v>15</v>
      </c>
      <c r="J157" s="132" t="s">
        <v>16</v>
      </c>
      <c r="K157" s="97"/>
    </row>
    <row r="158" spans="1:11" x14ac:dyDescent="0.2">
      <c r="A158" s="47" t="s">
        <v>17</v>
      </c>
      <c r="B158" s="58" t="s">
        <v>17</v>
      </c>
      <c r="C158" s="52">
        <v>93402</v>
      </c>
      <c r="D158" s="53">
        <v>0.42499999999999999</v>
      </c>
      <c r="E158" s="59">
        <v>0.77500000000000002</v>
      </c>
      <c r="F158" s="55">
        <v>12</v>
      </c>
      <c r="G158" s="60">
        <f>F158/12</f>
        <v>1</v>
      </c>
      <c r="H158" s="57">
        <f>ROUND(C158*(1+D158)*E158*G158,0)</f>
        <v>103151</v>
      </c>
      <c r="I158" s="134" t="s">
        <v>15</v>
      </c>
      <c r="J158" s="132"/>
      <c r="K158" s="97"/>
    </row>
    <row r="159" spans="1:11" x14ac:dyDescent="0.2">
      <c r="A159" s="47" t="s">
        <v>18</v>
      </c>
      <c r="B159" s="58" t="s">
        <v>18</v>
      </c>
      <c r="C159" s="52">
        <v>99006</v>
      </c>
      <c r="D159" s="53">
        <v>0.42499999999999999</v>
      </c>
      <c r="E159" s="59">
        <v>0.77500000000000002</v>
      </c>
      <c r="F159" s="55">
        <v>12</v>
      </c>
      <c r="G159" s="60">
        <f>F159/12</f>
        <v>1</v>
      </c>
      <c r="H159" s="57">
        <f>ROUND(C159*(1+D159)*E159*G159,0)</f>
        <v>109340</v>
      </c>
      <c r="I159" s="134" t="s">
        <v>15</v>
      </c>
      <c r="J159" s="132"/>
      <c r="K159" s="97"/>
    </row>
    <row r="160" spans="1:11" x14ac:dyDescent="0.2">
      <c r="A160" s="47" t="s">
        <v>19</v>
      </c>
      <c r="B160" s="58" t="s">
        <v>19</v>
      </c>
      <c r="C160" s="52">
        <v>104947</v>
      </c>
      <c r="D160" s="53">
        <v>0.42499999999999999</v>
      </c>
      <c r="E160" s="59">
        <v>0.77500000000000002</v>
      </c>
      <c r="F160" s="55">
        <v>12</v>
      </c>
      <c r="G160" s="60">
        <f>F160/12</f>
        <v>1</v>
      </c>
      <c r="H160" s="57">
        <f>ROUND(C160*(1+D160)*E160*G160,0)</f>
        <v>115901</v>
      </c>
      <c r="I160" s="134" t="s">
        <v>15</v>
      </c>
      <c r="J160" s="132"/>
      <c r="K160" s="97"/>
    </row>
    <row r="161" spans="1:11" x14ac:dyDescent="0.2">
      <c r="A161" s="47" t="s">
        <v>20</v>
      </c>
      <c r="B161" s="58" t="s">
        <v>20</v>
      </c>
      <c r="C161" s="52">
        <v>111244</v>
      </c>
      <c r="D161" s="53">
        <v>0.42499999999999999</v>
      </c>
      <c r="E161" s="59">
        <v>0.77500000000000002</v>
      </c>
      <c r="F161" s="55">
        <v>12</v>
      </c>
      <c r="G161" s="60">
        <f>F161/12</f>
        <v>1</v>
      </c>
      <c r="H161" s="57">
        <f>ROUND(C161*(1+D161)*E161*G161,0)</f>
        <v>122855</v>
      </c>
      <c r="I161" s="134" t="s">
        <v>15</v>
      </c>
      <c r="J161" s="132"/>
      <c r="K161" s="97"/>
    </row>
    <row r="162" spans="1:11" x14ac:dyDescent="0.2">
      <c r="A162" s="47"/>
      <c r="B162" s="1018" t="s">
        <v>67</v>
      </c>
      <c r="C162" s="1018"/>
      <c r="D162" s="1018"/>
      <c r="E162" s="1018"/>
      <c r="F162" s="1018"/>
      <c r="G162" s="1018"/>
      <c r="H162" s="1018"/>
      <c r="I162" s="1018"/>
      <c r="J162" s="1018"/>
      <c r="K162" s="98"/>
    </row>
    <row r="163" spans="1:11" x14ac:dyDescent="0.2">
      <c r="A163" s="47" t="s">
        <v>13</v>
      </c>
      <c r="B163" s="146" t="s">
        <v>66</v>
      </c>
      <c r="C163" s="52">
        <v>88428</v>
      </c>
      <c r="D163" s="53">
        <v>0.42499999999999999</v>
      </c>
      <c r="E163" s="59">
        <v>0.22500000000000001</v>
      </c>
      <c r="F163" s="55">
        <v>0</v>
      </c>
      <c r="G163" s="60">
        <f>F163/12</f>
        <v>0</v>
      </c>
      <c r="H163" s="64">
        <f>ROUND(C163*(1+D163)*E163*G163,0)</f>
        <v>0</v>
      </c>
      <c r="I163" s="134" t="s">
        <v>26</v>
      </c>
      <c r="J163" s="132" t="s">
        <v>16</v>
      </c>
      <c r="K163" s="97"/>
    </row>
    <row r="164" spans="1:11" x14ac:dyDescent="0.2">
      <c r="A164" s="47" t="s">
        <v>17</v>
      </c>
      <c r="B164" s="58" t="s">
        <v>17</v>
      </c>
      <c r="C164" s="52">
        <v>93402</v>
      </c>
      <c r="D164" s="53">
        <v>0.42499999999999999</v>
      </c>
      <c r="E164" s="59">
        <v>0.22500000000000001</v>
      </c>
      <c r="F164" s="55">
        <v>4</v>
      </c>
      <c r="G164" s="60">
        <f>F164/12</f>
        <v>0.33333333333333331</v>
      </c>
      <c r="H164" s="57">
        <f>ROUND(C164*(1+D164)*E164*G164,0)</f>
        <v>9982</v>
      </c>
      <c r="I164" s="134" t="s">
        <v>26</v>
      </c>
      <c r="J164" s="132"/>
      <c r="K164" s="97"/>
    </row>
    <row r="165" spans="1:11" x14ac:dyDescent="0.2">
      <c r="A165" s="47" t="s">
        <v>18</v>
      </c>
      <c r="B165" s="58" t="s">
        <v>18</v>
      </c>
      <c r="C165" s="52">
        <v>99006</v>
      </c>
      <c r="D165" s="53">
        <v>0.42499999999999999</v>
      </c>
      <c r="E165" s="59">
        <v>0.22500000000000001</v>
      </c>
      <c r="F165" s="55">
        <v>12</v>
      </c>
      <c r="G165" s="60">
        <f>F165/12</f>
        <v>1</v>
      </c>
      <c r="H165" s="57">
        <f>ROUND(C165*(1+D165)*E165*G165,0)</f>
        <v>31744</v>
      </c>
      <c r="I165" s="134" t="s">
        <v>26</v>
      </c>
      <c r="J165" s="132"/>
      <c r="K165" s="97"/>
    </row>
    <row r="166" spans="1:11" x14ac:dyDescent="0.2">
      <c r="A166" s="47" t="s">
        <v>19</v>
      </c>
      <c r="B166" s="58" t="s">
        <v>19</v>
      </c>
      <c r="C166" s="52">
        <v>104947</v>
      </c>
      <c r="D166" s="53">
        <v>0.42499999999999999</v>
      </c>
      <c r="E166" s="59">
        <v>0.22500000000000001</v>
      </c>
      <c r="F166" s="55">
        <v>12</v>
      </c>
      <c r="G166" s="60">
        <f>F166/12</f>
        <v>1</v>
      </c>
      <c r="H166" s="57">
        <f>ROUND(C166*(1+D166)*E166*G166,0)</f>
        <v>33649</v>
      </c>
      <c r="I166" s="134" t="s">
        <v>26</v>
      </c>
      <c r="J166" s="132"/>
      <c r="K166" s="97"/>
    </row>
    <row r="167" spans="1:11" x14ac:dyDescent="0.2">
      <c r="A167" s="47" t="s">
        <v>20</v>
      </c>
      <c r="B167" s="58" t="s">
        <v>20</v>
      </c>
      <c r="C167" s="52">
        <v>111244</v>
      </c>
      <c r="D167" s="53">
        <v>0.42499999999999999</v>
      </c>
      <c r="E167" s="59">
        <v>0.22500000000000001</v>
      </c>
      <c r="F167" s="55">
        <v>12</v>
      </c>
      <c r="G167" s="60">
        <f>F167/12</f>
        <v>1</v>
      </c>
      <c r="H167" s="57">
        <f>ROUND(C167*(1+D167)*E167*G167,0)</f>
        <v>35668</v>
      </c>
      <c r="I167" s="134" t="s">
        <v>26</v>
      </c>
      <c r="J167" s="132"/>
      <c r="K167" s="97"/>
    </row>
    <row r="168" spans="1:11" x14ac:dyDescent="0.2">
      <c r="A168" s="47"/>
      <c r="B168" s="1018" t="s">
        <v>67</v>
      </c>
      <c r="C168" s="1018"/>
      <c r="D168" s="1018"/>
      <c r="E168" s="1018"/>
      <c r="F168" s="1018"/>
      <c r="G168" s="1018"/>
      <c r="H168" s="1018"/>
      <c r="I168" s="1018"/>
      <c r="J168" s="1018"/>
      <c r="K168" s="98"/>
    </row>
    <row r="169" spans="1:11" x14ac:dyDescent="0.2">
      <c r="A169" s="47" t="s">
        <v>13</v>
      </c>
      <c r="B169" s="146" t="s">
        <v>68</v>
      </c>
      <c r="C169" s="52">
        <v>67350</v>
      </c>
      <c r="D169" s="53">
        <v>0.42499999999999999</v>
      </c>
      <c r="E169" s="59">
        <v>1</v>
      </c>
      <c r="F169" s="55">
        <v>0</v>
      </c>
      <c r="G169" s="60">
        <f>F169/12</f>
        <v>0</v>
      </c>
      <c r="H169" s="64">
        <f>ROUND(C169*(1+D169)*E169*G169,0)</f>
        <v>0</v>
      </c>
      <c r="I169" s="134" t="s">
        <v>15</v>
      </c>
      <c r="J169" s="132" t="s">
        <v>16</v>
      </c>
      <c r="K169" s="97"/>
    </row>
    <row r="170" spans="1:11" x14ac:dyDescent="0.2">
      <c r="A170" s="47" t="s">
        <v>17</v>
      </c>
      <c r="B170" s="58" t="s">
        <v>17</v>
      </c>
      <c r="C170" s="52">
        <v>71391</v>
      </c>
      <c r="D170" s="53">
        <v>0.42499999999999999</v>
      </c>
      <c r="E170" s="59">
        <v>1</v>
      </c>
      <c r="F170" s="55">
        <v>6</v>
      </c>
      <c r="G170" s="60">
        <f>F170/12</f>
        <v>0.5</v>
      </c>
      <c r="H170" s="57">
        <f>ROUND(C170*(1+D170)*E170*G170,0)</f>
        <v>50866</v>
      </c>
      <c r="I170" s="134" t="s">
        <v>15</v>
      </c>
      <c r="J170" s="132"/>
      <c r="K170" s="97"/>
    </row>
    <row r="171" spans="1:11" x14ac:dyDescent="0.2">
      <c r="A171" s="47" t="s">
        <v>18</v>
      </c>
      <c r="B171" s="58" t="s">
        <v>18</v>
      </c>
      <c r="C171" s="52">
        <v>73155</v>
      </c>
      <c r="D171" s="53">
        <v>0.42499999999999999</v>
      </c>
      <c r="E171" s="59">
        <v>1</v>
      </c>
      <c r="F171" s="55">
        <v>12</v>
      </c>
      <c r="G171" s="60">
        <f>F171/12</f>
        <v>1</v>
      </c>
      <c r="H171" s="57">
        <f>ROUND(C171*(1+D171)*E171*G171,0)</f>
        <v>104246</v>
      </c>
      <c r="I171" s="134" t="s">
        <v>15</v>
      </c>
      <c r="J171" s="132"/>
      <c r="K171" s="97"/>
    </row>
    <row r="172" spans="1:11" x14ac:dyDescent="0.2">
      <c r="A172" s="47" t="s">
        <v>19</v>
      </c>
      <c r="B172" s="58" t="s">
        <v>19</v>
      </c>
      <c r="C172" s="52">
        <v>77545</v>
      </c>
      <c r="D172" s="53">
        <v>0.42499999999999999</v>
      </c>
      <c r="E172" s="59">
        <v>1</v>
      </c>
      <c r="F172" s="55">
        <v>12</v>
      </c>
      <c r="G172" s="60">
        <f>F172/12</f>
        <v>1</v>
      </c>
      <c r="H172" s="57">
        <f>ROUND(C172*(1+D172)*E172*G172,0)</f>
        <v>110502</v>
      </c>
      <c r="I172" s="134" t="s">
        <v>15</v>
      </c>
      <c r="J172" s="132"/>
      <c r="K172" s="97"/>
    </row>
    <row r="173" spans="1:11" x14ac:dyDescent="0.2">
      <c r="A173" s="47" t="s">
        <v>20</v>
      </c>
      <c r="B173" s="58" t="s">
        <v>20</v>
      </c>
      <c r="C173" s="52">
        <v>82197</v>
      </c>
      <c r="D173" s="53">
        <v>0.42499999999999999</v>
      </c>
      <c r="E173" s="59">
        <v>1</v>
      </c>
      <c r="F173" s="55">
        <v>12</v>
      </c>
      <c r="G173" s="60">
        <f>F173/12</f>
        <v>1</v>
      </c>
      <c r="H173" s="57">
        <f>ROUND(C173*(1+D173)*E173*G173,0)</f>
        <v>117131</v>
      </c>
      <c r="I173" s="134" t="s">
        <v>15</v>
      </c>
      <c r="J173" s="132"/>
      <c r="K173" s="97"/>
    </row>
    <row r="174" spans="1:11" x14ac:dyDescent="0.2">
      <c r="A174" s="47"/>
      <c r="B174" s="1018" t="s">
        <v>69</v>
      </c>
      <c r="C174" s="1018"/>
      <c r="D174" s="1018"/>
      <c r="E174" s="1018"/>
      <c r="F174" s="1018"/>
      <c r="G174" s="1018"/>
      <c r="H174" s="1018"/>
      <c r="I174" s="1018"/>
      <c r="J174" s="1018"/>
      <c r="K174" s="98"/>
    </row>
    <row r="175" spans="1:11" x14ac:dyDescent="0.2">
      <c r="A175" s="47" t="s">
        <v>13</v>
      </c>
      <c r="B175" s="146" t="s">
        <v>70</v>
      </c>
      <c r="C175" s="52">
        <v>93766</v>
      </c>
      <c r="D175" s="53">
        <v>0.42499999999999999</v>
      </c>
      <c r="E175" s="59">
        <v>1</v>
      </c>
      <c r="F175" s="55">
        <v>0</v>
      </c>
      <c r="G175" s="60">
        <f>F175/12</f>
        <v>0</v>
      </c>
      <c r="H175" s="64">
        <f>ROUND(C175*(1+D175)*E175*G175,0)</f>
        <v>0</v>
      </c>
      <c r="I175" s="134" t="s">
        <v>15</v>
      </c>
      <c r="J175" s="132" t="s">
        <v>16</v>
      </c>
      <c r="K175" s="97"/>
    </row>
    <row r="176" spans="1:11" x14ac:dyDescent="0.2">
      <c r="A176" s="47" t="s">
        <v>17</v>
      </c>
      <c r="B176" s="58" t="s">
        <v>17</v>
      </c>
      <c r="C176" s="52">
        <v>99392</v>
      </c>
      <c r="D176" s="53">
        <v>0.42499999999999999</v>
      </c>
      <c r="E176" s="59">
        <v>1</v>
      </c>
      <c r="F176" s="55">
        <v>6</v>
      </c>
      <c r="G176" s="60">
        <f>F176/12</f>
        <v>0.5</v>
      </c>
      <c r="H176" s="57">
        <f>ROUND(C176*(1+D176)*E176*G176,0)</f>
        <v>70817</v>
      </c>
      <c r="I176" s="134" t="s">
        <v>15</v>
      </c>
      <c r="J176" s="132"/>
      <c r="K176" s="97"/>
    </row>
    <row r="177" spans="1:11" x14ac:dyDescent="0.2">
      <c r="A177" s="47" t="s">
        <v>18</v>
      </c>
      <c r="B177" s="58" t="s">
        <v>18</v>
      </c>
      <c r="C177" s="52">
        <v>99392</v>
      </c>
      <c r="D177" s="53">
        <v>0.42499999999999999</v>
      </c>
      <c r="E177" s="59">
        <v>1</v>
      </c>
      <c r="F177" s="55">
        <v>12</v>
      </c>
      <c r="G177" s="60">
        <f>F177/12</f>
        <v>1</v>
      </c>
      <c r="H177" s="57">
        <f>ROUND(C177*(1+D177)*E177*G177,0)</f>
        <v>141634</v>
      </c>
      <c r="I177" s="134" t="s">
        <v>15</v>
      </c>
      <c r="J177" s="132"/>
      <c r="K177" s="97"/>
    </row>
    <row r="178" spans="1:11" x14ac:dyDescent="0.2">
      <c r="A178" s="47" t="s">
        <v>19</v>
      </c>
      <c r="B178" s="58" t="s">
        <v>19</v>
      </c>
      <c r="C178" s="52">
        <v>105356</v>
      </c>
      <c r="D178" s="53">
        <v>0.42499999999999999</v>
      </c>
      <c r="E178" s="59">
        <v>1</v>
      </c>
      <c r="F178" s="55">
        <v>12</v>
      </c>
      <c r="G178" s="60">
        <f>F178/12</f>
        <v>1</v>
      </c>
      <c r="H178" s="57">
        <f>ROUND(C178*(1+D178)*E178*G178,0)</f>
        <v>150132</v>
      </c>
      <c r="I178" s="134" t="s">
        <v>15</v>
      </c>
      <c r="J178" s="132"/>
      <c r="K178" s="97"/>
    </row>
    <row r="179" spans="1:11" x14ac:dyDescent="0.2">
      <c r="A179" s="47" t="s">
        <v>20</v>
      </c>
      <c r="B179" s="58" t="s">
        <v>20</v>
      </c>
      <c r="C179" s="52">
        <v>111677</v>
      </c>
      <c r="D179" s="53">
        <v>0.42499999999999999</v>
      </c>
      <c r="E179" s="59">
        <v>1</v>
      </c>
      <c r="F179" s="55">
        <v>12</v>
      </c>
      <c r="G179" s="60">
        <f>F179/12</f>
        <v>1</v>
      </c>
      <c r="H179" s="57">
        <f>ROUND(C179*(1+D179)*E179*G179,0)</f>
        <v>159140</v>
      </c>
      <c r="I179" s="134" t="s">
        <v>15</v>
      </c>
      <c r="J179" s="132"/>
      <c r="K179" s="97"/>
    </row>
    <row r="180" spans="1:11" x14ac:dyDescent="0.2">
      <c r="A180" s="47"/>
      <c r="B180" s="1018" t="s">
        <v>71</v>
      </c>
      <c r="C180" s="1018"/>
      <c r="D180" s="1018"/>
      <c r="E180" s="1018"/>
      <c r="F180" s="1018"/>
      <c r="G180" s="1018"/>
      <c r="H180" s="1018"/>
      <c r="I180" s="1018"/>
      <c r="J180" s="1018"/>
      <c r="K180" s="98"/>
    </row>
    <row r="181" spans="1:11" ht="22.5" x14ac:dyDescent="0.2">
      <c r="A181" s="47" t="s">
        <v>13</v>
      </c>
      <c r="B181" s="146" t="s">
        <v>72</v>
      </c>
      <c r="C181" s="52">
        <v>80517</v>
      </c>
      <c r="D181" s="53">
        <v>0.42499999999999999</v>
      </c>
      <c r="E181" s="59">
        <v>1</v>
      </c>
      <c r="F181" s="55">
        <v>0</v>
      </c>
      <c r="G181" s="60">
        <f>F181/12</f>
        <v>0</v>
      </c>
      <c r="H181" s="64">
        <f>ROUND(C181*(1+D181)*E181*G181,0)</f>
        <v>0</v>
      </c>
      <c r="I181" s="134" t="s">
        <v>15</v>
      </c>
      <c r="J181" s="132" t="s">
        <v>73</v>
      </c>
      <c r="K181" s="97"/>
    </row>
    <row r="182" spans="1:11" x14ac:dyDescent="0.2">
      <c r="A182" s="47" t="s">
        <v>17</v>
      </c>
      <c r="B182" s="58" t="s">
        <v>17</v>
      </c>
      <c r="C182" s="52">
        <v>85348</v>
      </c>
      <c r="D182" s="53">
        <v>0.42499999999999999</v>
      </c>
      <c r="E182" s="59">
        <v>1</v>
      </c>
      <c r="F182" s="55">
        <v>4</v>
      </c>
      <c r="G182" s="60">
        <f>F182/12</f>
        <v>0.33333333333333331</v>
      </c>
      <c r="H182" s="57">
        <f>ROUND(C182*(1+D182)*E182*G182,0)</f>
        <v>40540</v>
      </c>
      <c r="I182" s="134" t="s">
        <v>15</v>
      </c>
      <c r="J182" s="132"/>
      <c r="K182" s="97"/>
    </row>
    <row r="183" spans="1:11" x14ac:dyDescent="0.2">
      <c r="A183" s="47" t="s">
        <v>18</v>
      </c>
      <c r="B183" s="58" t="s">
        <v>18</v>
      </c>
      <c r="C183" s="52">
        <v>90469</v>
      </c>
      <c r="D183" s="53">
        <v>0.42499999999999999</v>
      </c>
      <c r="E183" s="59">
        <v>1</v>
      </c>
      <c r="F183" s="55">
        <v>12</v>
      </c>
      <c r="G183" s="60">
        <f>F183/12</f>
        <v>1</v>
      </c>
      <c r="H183" s="57">
        <f>ROUND(C183*(1+D183)*E183*G183,0)</f>
        <v>128918</v>
      </c>
      <c r="I183" s="134" t="s">
        <v>15</v>
      </c>
      <c r="J183" s="132"/>
      <c r="K183" s="97"/>
    </row>
    <row r="184" spans="1:11" x14ac:dyDescent="0.2">
      <c r="A184" s="47" t="s">
        <v>19</v>
      </c>
      <c r="B184" s="58" t="s">
        <v>19</v>
      </c>
      <c r="C184" s="52">
        <v>95897</v>
      </c>
      <c r="D184" s="53">
        <v>0.42499999999999999</v>
      </c>
      <c r="E184" s="59">
        <v>1</v>
      </c>
      <c r="F184" s="55">
        <v>12</v>
      </c>
      <c r="G184" s="60">
        <f>F184/12</f>
        <v>1</v>
      </c>
      <c r="H184" s="57">
        <f>ROUND(C184*(1+D184)*E184*G184,0)</f>
        <v>136653</v>
      </c>
      <c r="I184" s="134" t="s">
        <v>15</v>
      </c>
      <c r="J184" s="132"/>
      <c r="K184" s="97"/>
    </row>
    <row r="185" spans="1:11" x14ac:dyDescent="0.2">
      <c r="A185" s="47" t="s">
        <v>20</v>
      </c>
      <c r="B185" s="58" t="s">
        <v>20</v>
      </c>
      <c r="C185" s="52">
        <v>101651</v>
      </c>
      <c r="D185" s="53">
        <v>0.42499999999999999</v>
      </c>
      <c r="E185" s="59">
        <v>1</v>
      </c>
      <c r="F185" s="55">
        <v>12</v>
      </c>
      <c r="G185" s="60">
        <f>F185/12</f>
        <v>1</v>
      </c>
      <c r="H185" s="57">
        <f>ROUND(C185*(1+D185)*E185*G185,0)</f>
        <v>144853</v>
      </c>
      <c r="I185" s="134" t="s">
        <v>15</v>
      </c>
      <c r="J185" s="132"/>
      <c r="K185" s="97"/>
    </row>
    <row r="186" spans="1:11" x14ac:dyDescent="0.2">
      <c r="A186" s="47"/>
      <c r="B186" s="1018" t="s">
        <v>74</v>
      </c>
      <c r="C186" s="1018"/>
      <c r="D186" s="1018"/>
      <c r="E186" s="1018"/>
      <c r="F186" s="1018"/>
      <c r="G186" s="1018"/>
      <c r="H186" s="1018"/>
      <c r="I186" s="1018"/>
      <c r="J186" s="1018"/>
      <c r="K186" s="98"/>
    </row>
    <row r="187" spans="1:11" ht="22.5" x14ac:dyDescent="0.2">
      <c r="A187" s="47" t="s">
        <v>13</v>
      </c>
      <c r="B187" s="146" t="s">
        <v>75</v>
      </c>
      <c r="C187" s="52">
        <v>80517</v>
      </c>
      <c r="D187" s="53">
        <v>0.42499999999999999</v>
      </c>
      <c r="E187" s="59">
        <v>1</v>
      </c>
      <c r="F187" s="55">
        <v>0</v>
      </c>
      <c r="G187" s="60">
        <f>F187/12</f>
        <v>0</v>
      </c>
      <c r="H187" s="64">
        <f>ROUND(C187*(1+D187)*E187*G187,0)</f>
        <v>0</v>
      </c>
      <c r="I187" s="134" t="s">
        <v>15</v>
      </c>
      <c r="J187" s="132" t="s">
        <v>73</v>
      </c>
      <c r="K187" s="97"/>
    </row>
    <row r="188" spans="1:11" x14ac:dyDescent="0.2">
      <c r="A188" s="47" t="s">
        <v>17</v>
      </c>
      <c r="B188" s="58" t="s">
        <v>17</v>
      </c>
      <c r="C188" s="52">
        <v>85348</v>
      </c>
      <c r="D188" s="53">
        <v>0.42499999999999999</v>
      </c>
      <c r="E188" s="59">
        <v>1</v>
      </c>
      <c r="F188" s="55">
        <v>4</v>
      </c>
      <c r="G188" s="60">
        <f>F188/12</f>
        <v>0.33333333333333331</v>
      </c>
      <c r="H188" s="57">
        <f>ROUND(C188*(1+D188)*E188*G188,0)</f>
        <v>40540</v>
      </c>
      <c r="I188" s="134" t="s">
        <v>15</v>
      </c>
      <c r="J188" s="132"/>
      <c r="K188" s="97"/>
    </row>
    <row r="189" spans="1:11" x14ac:dyDescent="0.2">
      <c r="A189" s="47" t="s">
        <v>18</v>
      </c>
      <c r="B189" s="58" t="s">
        <v>18</v>
      </c>
      <c r="C189" s="52">
        <v>90469</v>
      </c>
      <c r="D189" s="53">
        <v>0.42499999999999999</v>
      </c>
      <c r="E189" s="59">
        <v>1</v>
      </c>
      <c r="F189" s="55">
        <v>12</v>
      </c>
      <c r="G189" s="60">
        <f>F189/12</f>
        <v>1</v>
      </c>
      <c r="H189" s="57">
        <f>ROUND(C189*(1+D189)*E189*G189,0)</f>
        <v>128918</v>
      </c>
      <c r="I189" s="134" t="s">
        <v>15</v>
      </c>
      <c r="J189" s="132"/>
      <c r="K189" s="97"/>
    </row>
    <row r="190" spans="1:11" x14ac:dyDescent="0.2">
      <c r="A190" s="47" t="s">
        <v>19</v>
      </c>
      <c r="B190" s="58" t="s">
        <v>19</v>
      </c>
      <c r="C190" s="52">
        <v>95897</v>
      </c>
      <c r="D190" s="53">
        <v>0.42499999999999999</v>
      </c>
      <c r="E190" s="59">
        <v>1</v>
      </c>
      <c r="F190" s="55">
        <v>12</v>
      </c>
      <c r="G190" s="60">
        <f>F190/12</f>
        <v>1</v>
      </c>
      <c r="H190" s="57">
        <f>ROUND(C190*(1+D190)*E190*G190,0)</f>
        <v>136653</v>
      </c>
      <c r="I190" s="134" t="s">
        <v>15</v>
      </c>
      <c r="J190" s="132"/>
      <c r="K190" s="97"/>
    </row>
    <row r="191" spans="1:11" x14ac:dyDescent="0.2">
      <c r="A191" s="47" t="s">
        <v>20</v>
      </c>
      <c r="B191" s="58" t="s">
        <v>20</v>
      </c>
      <c r="C191" s="52">
        <v>101651</v>
      </c>
      <c r="D191" s="53">
        <v>0.42499999999999999</v>
      </c>
      <c r="E191" s="59">
        <v>1</v>
      </c>
      <c r="F191" s="55">
        <v>12</v>
      </c>
      <c r="G191" s="60">
        <f>F191/12</f>
        <v>1</v>
      </c>
      <c r="H191" s="57">
        <f>ROUND(C191*(1+D191)*E191*G191,0)</f>
        <v>144853</v>
      </c>
      <c r="I191" s="134" t="s">
        <v>15</v>
      </c>
      <c r="J191" s="132"/>
      <c r="K191" s="97"/>
    </row>
    <row r="192" spans="1:11" x14ac:dyDescent="0.2">
      <c r="A192" s="47"/>
      <c r="B192" s="1018" t="s">
        <v>76</v>
      </c>
      <c r="C192" s="1018"/>
      <c r="D192" s="1018"/>
      <c r="E192" s="1018"/>
      <c r="F192" s="1018"/>
      <c r="G192" s="1018"/>
      <c r="H192" s="1018"/>
      <c r="I192" s="1018"/>
      <c r="J192" s="1018"/>
      <c r="K192" s="98"/>
    </row>
    <row r="193" spans="1:11" ht="22.5" x14ac:dyDescent="0.2">
      <c r="A193" s="47" t="s">
        <v>13</v>
      </c>
      <c r="B193" s="146" t="s">
        <v>77</v>
      </c>
      <c r="C193" s="52">
        <v>56264</v>
      </c>
      <c r="D193" s="53">
        <v>0.42499999999999999</v>
      </c>
      <c r="E193" s="59">
        <v>1</v>
      </c>
      <c r="F193" s="55">
        <v>9</v>
      </c>
      <c r="G193" s="60">
        <f>F193/12</f>
        <v>0.75</v>
      </c>
      <c r="H193" s="64">
        <f>ROUND(C193*(1+D193)*E193*G193,0)</f>
        <v>60132</v>
      </c>
      <c r="I193" s="134" t="s">
        <v>15</v>
      </c>
      <c r="J193" s="132" t="s">
        <v>23</v>
      </c>
      <c r="K193" s="97"/>
    </row>
    <row r="194" spans="1:11" x14ac:dyDescent="0.2">
      <c r="A194" s="47" t="s">
        <v>17</v>
      </c>
      <c r="B194" s="58" t="s">
        <v>17</v>
      </c>
      <c r="C194" s="52">
        <v>59640</v>
      </c>
      <c r="D194" s="53">
        <v>0.42499999999999999</v>
      </c>
      <c r="E194" s="59">
        <v>1</v>
      </c>
      <c r="F194" s="55">
        <v>12</v>
      </c>
      <c r="G194" s="60">
        <f>F194/12</f>
        <v>1</v>
      </c>
      <c r="H194" s="57">
        <f>ROUND(C194*(1+D194)*E194*G194,0)</f>
        <v>84987</v>
      </c>
      <c r="I194" s="134" t="s">
        <v>15</v>
      </c>
      <c r="J194" s="132"/>
      <c r="K194" s="97"/>
    </row>
    <row r="195" spans="1:11" x14ac:dyDescent="0.2">
      <c r="A195" s="47" t="s">
        <v>18</v>
      </c>
      <c r="B195" s="58" t="s">
        <v>18</v>
      </c>
      <c r="C195" s="52">
        <v>63218</v>
      </c>
      <c r="D195" s="53">
        <v>0.42499999999999999</v>
      </c>
      <c r="E195" s="59">
        <v>1</v>
      </c>
      <c r="F195" s="55">
        <v>12</v>
      </c>
      <c r="G195" s="60">
        <f>F195/12</f>
        <v>1</v>
      </c>
      <c r="H195" s="57">
        <f>ROUND(C195*(1+D195)*E195*G195,0)</f>
        <v>90086</v>
      </c>
      <c r="I195" s="134" t="s">
        <v>15</v>
      </c>
      <c r="J195" s="132"/>
      <c r="K195" s="97"/>
    </row>
    <row r="196" spans="1:11" x14ac:dyDescent="0.2">
      <c r="A196" s="47" t="s">
        <v>19</v>
      </c>
      <c r="B196" s="58" t="s">
        <v>19</v>
      </c>
      <c r="C196" s="52">
        <v>67011</v>
      </c>
      <c r="D196" s="53">
        <v>0.42499999999999999</v>
      </c>
      <c r="E196" s="59">
        <v>1</v>
      </c>
      <c r="F196" s="55">
        <v>12</v>
      </c>
      <c r="G196" s="60">
        <f>F196/12</f>
        <v>1</v>
      </c>
      <c r="H196" s="57">
        <f>ROUND(C196*(1+D196)*E196*G196,0)</f>
        <v>95491</v>
      </c>
      <c r="I196" s="134" t="s">
        <v>15</v>
      </c>
      <c r="J196" s="132"/>
      <c r="K196" s="97"/>
    </row>
    <row r="197" spans="1:11" x14ac:dyDescent="0.2">
      <c r="A197" s="47" t="s">
        <v>20</v>
      </c>
      <c r="B197" s="58" t="s">
        <v>20</v>
      </c>
      <c r="C197" s="52">
        <v>71032</v>
      </c>
      <c r="D197" s="53">
        <v>0.42499999999999999</v>
      </c>
      <c r="E197" s="59">
        <v>1</v>
      </c>
      <c r="F197" s="55">
        <v>12</v>
      </c>
      <c r="G197" s="60">
        <f>F197/12</f>
        <v>1</v>
      </c>
      <c r="H197" s="57">
        <f>ROUND(C197*(1+D197)*E197*G197,0)</f>
        <v>101221</v>
      </c>
      <c r="I197" s="134" t="s">
        <v>15</v>
      </c>
      <c r="J197" s="132"/>
      <c r="K197" s="97"/>
    </row>
    <row r="198" spans="1:11" x14ac:dyDescent="0.2">
      <c r="A198" s="47"/>
      <c r="B198" s="1018" t="s">
        <v>78</v>
      </c>
      <c r="C198" s="1018"/>
      <c r="D198" s="1018"/>
      <c r="E198" s="1018"/>
      <c r="F198" s="1018"/>
      <c r="G198" s="1018"/>
      <c r="H198" s="1018"/>
      <c r="I198" s="1018"/>
      <c r="J198" s="1018"/>
      <c r="K198" s="98"/>
    </row>
    <row r="199" spans="1:11" ht="33.75" x14ac:dyDescent="0.2">
      <c r="A199" s="47" t="s">
        <v>13</v>
      </c>
      <c r="B199" s="80" t="s">
        <v>79</v>
      </c>
      <c r="C199" s="52">
        <v>78520</v>
      </c>
      <c r="D199" s="53">
        <v>0.42499999999999999</v>
      </c>
      <c r="E199" s="59">
        <v>1</v>
      </c>
      <c r="F199" s="55">
        <v>0</v>
      </c>
      <c r="G199" s="60">
        <f>F199/12</f>
        <v>0</v>
      </c>
      <c r="H199" s="64">
        <f>ROUND(C199*(1+D199)*E199*G199,0)</f>
        <v>0</v>
      </c>
      <c r="I199" s="134" t="s">
        <v>15</v>
      </c>
      <c r="J199" s="132" t="s">
        <v>16</v>
      </c>
      <c r="K199" s="97"/>
    </row>
    <row r="200" spans="1:11" x14ac:dyDescent="0.2">
      <c r="A200" s="47" t="s">
        <v>17</v>
      </c>
      <c r="B200" s="58" t="s">
        <v>17</v>
      </c>
      <c r="C200" s="52">
        <v>83231</v>
      </c>
      <c r="D200" s="53">
        <v>0.42499999999999999</v>
      </c>
      <c r="E200" s="59">
        <v>1</v>
      </c>
      <c r="F200" s="55">
        <v>6</v>
      </c>
      <c r="G200" s="60">
        <f>F200/12</f>
        <v>0.5</v>
      </c>
      <c r="H200" s="57">
        <f>ROUND(C200*(1+D200)*E200*G200,0)</f>
        <v>59302</v>
      </c>
      <c r="I200" s="134" t="s">
        <v>15</v>
      </c>
      <c r="J200" s="132"/>
      <c r="K200" s="97"/>
    </row>
    <row r="201" spans="1:11" x14ac:dyDescent="0.2">
      <c r="A201" s="47" t="s">
        <v>18</v>
      </c>
      <c r="B201" s="58" t="s">
        <v>18</v>
      </c>
      <c r="C201" s="52">
        <v>88225</v>
      </c>
      <c r="D201" s="53">
        <v>0.42499999999999999</v>
      </c>
      <c r="E201" s="59">
        <v>1</v>
      </c>
      <c r="F201" s="55">
        <v>12</v>
      </c>
      <c r="G201" s="60">
        <f>F201/12</f>
        <v>1</v>
      </c>
      <c r="H201" s="57">
        <f>ROUND(C201*(1+D201)*E201*G201,0)</f>
        <v>125721</v>
      </c>
      <c r="I201" s="134" t="s">
        <v>15</v>
      </c>
      <c r="J201" s="132"/>
      <c r="K201" s="97"/>
    </row>
    <row r="202" spans="1:11" x14ac:dyDescent="0.2">
      <c r="A202" s="47" t="s">
        <v>19</v>
      </c>
      <c r="B202" s="58" t="s">
        <v>19</v>
      </c>
      <c r="C202" s="52">
        <v>93519</v>
      </c>
      <c r="D202" s="53">
        <v>0.42499999999999999</v>
      </c>
      <c r="E202" s="59">
        <v>1</v>
      </c>
      <c r="F202" s="55">
        <v>12</v>
      </c>
      <c r="G202" s="60">
        <f>F202/12</f>
        <v>1</v>
      </c>
      <c r="H202" s="57">
        <f>ROUND(C202*(1+D202)*E202*G202,0)</f>
        <v>133265</v>
      </c>
      <c r="I202" s="134" t="s">
        <v>15</v>
      </c>
      <c r="J202" s="132"/>
      <c r="K202" s="97"/>
    </row>
    <row r="203" spans="1:11" x14ac:dyDescent="0.2">
      <c r="A203" s="47" t="s">
        <v>20</v>
      </c>
      <c r="B203" s="58" t="s">
        <v>20</v>
      </c>
      <c r="C203" s="52">
        <v>99130</v>
      </c>
      <c r="D203" s="53">
        <v>0.42499999999999999</v>
      </c>
      <c r="E203" s="59">
        <v>1</v>
      </c>
      <c r="F203" s="55">
        <v>12</v>
      </c>
      <c r="G203" s="60">
        <f>F203/12</f>
        <v>1</v>
      </c>
      <c r="H203" s="57">
        <f>ROUND(C203*(1+D203)*E203*G203,0)</f>
        <v>141260</v>
      </c>
      <c r="I203" s="134" t="s">
        <v>15</v>
      </c>
      <c r="J203" s="132"/>
      <c r="K203" s="97"/>
    </row>
    <row r="204" spans="1:11" x14ac:dyDescent="0.2">
      <c r="A204" s="47"/>
      <c r="B204" s="1018" t="s">
        <v>78</v>
      </c>
      <c r="C204" s="1018"/>
      <c r="D204" s="1018"/>
      <c r="E204" s="1018"/>
      <c r="F204" s="1018"/>
      <c r="G204" s="1018"/>
      <c r="H204" s="1018"/>
      <c r="I204" s="1018"/>
      <c r="J204" s="1018"/>
      <c r="K204" s="98"/>
    </row>
    <row r="205" spans="1:11" ht="33.75" x14ac:dyDescent="0.2">
      <c r="A205" s="47" t="s">
        <v>13</v>
      </c>
      <c r="B205" s="80" t="s">
        <v>80</v>
      </c>
      <c r="C205" s="52">
        <v>76440</v>
      </c>
      <c r="D205" s="53">
        <v>0.42499999999999999</v>
      </c>
      <c r="E205" s="59">
        <v>1</v>
      </c>
      <c r="F205" s="55">
        <v>0</v>
      </c>
      <c r="G205" s="60">
        <f>F205/12</f>
        <v>0</v>
      </c>
      <c r="H205" s="64">
        <f>ROUND(C205*(1+D205)*E205*G205,0)</f>
        <v>0</v>
      </c>
      <c r="I205" s="134" t="s">
        <v>15</v>
      </c>
      <c r="J205" s="132" t="s">
        <v>16</v>
      </c>
      <c r="K205" s="97"/>
    </row>
    <row r="206" spans="1:11" x14ac:dyDescent="0.2">
      <c r="A206" s="47" t="s">
        <v>17</v>
      </c>
      <c r="B206" s="58" t="s">
        <v>17</v>
      </c>
      <c r="C206" s="52">
        <v>81026</v>
      </c>
      <c r="D206" s="53">
        <v>0.42499999999999999</v>
      </c>
      <c r="E206" s="59">
        <v>1</v>
      </c>
      <c r="F206" s="55">
        <v>6</v>
      </c>
      <c r="G206" s="60">
        <f>F206/12</f>
        <v>0.5</v>
      </c>
      <c r="H206" s="57">
        <f>ROUND(C206*(1+D206)*E206*G206,0)</f>
        <v>57731</v>
      </c>
      <c r="I206" s="134" t="s">
        <v>15</v>
      </c>
      <c r="J206" s="132"/>
      <c r="K206" s="97"/>
    </row>
    <row r="207" spans="1:11" x14ac:dyDescent="0.2">
      <c r="A207" s="47" t="s">
        <v>18</v>
      </c>
      <c r="B207" s="58" t="s">
        <v>18</v>
      </c>
      <c r="C207" s="52">
        <v>85888</v>
      </c>
      <c r="D207" s="53">
        <v>0.42499999999999999</v>
      </c>
      <c r="E207" s="59">
        <v>1</v>
      </c>
      <c r="F207" s="55">
        <v>12</v>
      </c>
      <c r="G207" s="60">
        <f>F207/12</f>
        <v>1</v>
      </c>
      <c r="H207" s="57">
        <f>ROUND(C207*(1+D207)*E207*G207,0)</f>
        <v>122390</v>
      </c>
      <c r="I207" s="134" t="s">
        <v>15</v>
      </c>
      <c r="J207" s="132"/>
      <c r="K207" s="97"/>
    </row>
    <row r="208" spans="1:11" x14ac:dyDescent="0.2">
      <c r="A208" s="47" t="s">
        <v>19</v>
      </c>
      <c r="B208" s="58" t="s">
        <v>19</v>
      </c>
      <c r="C208" s="52">
        <v>91041</v>
      </c>
      <c r="D208" s="53">
        <v>0.42499999999999999</v>
      </c>
      <c r="E208" s="59">
        <v>1</v>
      </c>
      <c r="F208" s="55">
        <v>12</v>
      </c>
      <c r="G208" s="60">
        <f>F208/12</f>
        <v>1</v>
      </c>
      <c r="H208" s="57">
        <f>ROUND(C208*(1+D208)*E208*G208,0)</f>
        <v>129733</v>
      </c>
      <c r="I208" s="134" t="s">
        <v>15</v>
      </c>
      <c r="J208" s="132"/>
      <c r="K208" s="97"/>
    </row>
    <row r="209" spans="1:11" x14ac:dyDescent="0.2">
      <c r="A209" s="47" t="s">
        <v>20</v>
      </c>
      <c r="B209" s="58" t="s">
        <v>20</v>
      </c>
      <c r="C209" s="52">
        <v>96504</v>
      </c>
      <c r="D209" s="53">
        <v>0.42499999999999999</v>
      </c>
      <c r="E209" s="59">
        <v>1</v>
      </c>
      <c r="F209" s="55">
        <v>12</v>
      </c>
      <c r="G209" s="60">
        <f>F209/12</f>
        <v>1</v>
      </c>
      <c r="H209" s="57">
        <f>ROUND(C209*(1+D209)*E209*G209,0)</f>
        <v>137518</v>
      </c>
      <c r="I209" s="134" t="s">
        <v>15</v>
      </c>
      <c r="J209" s="132"/>
      <c r="K209" s="97"/>
    </row>
    <row r="210" spans="1:11" x14ac:dyDescent="0.2">
      <c r="A210" s="47"/>
      <c r="B210" s="1018" t="s">
        <v>78</v>
      </c>
      <c r="C210" s="1018"/>
      <c r="D210" s="1018"/>
      <c r="E210" s="1018"/>
      <c r="F210" s="1018"/>
      <c r="G210" s="1018"/>
      <c r="H210" s="1018"/>
      <c r="I210" s="1018"/>
      <c r="J210" s="1018"/>
      <c r="K210" s="98"/>
    </row>
    <row r="211" spans="1:11" ht="22.5" x14ac:dyDescent="0.2">
      <c r="A211" s="47" t="s">
        <v>13</v>
      </c>
      <c r="B211" s="146" t="s">
        <v>81</v>
      </c>
      <c r="C211" s="52">
        <v>48256</v>
      </c>
      <c r="D211" s="53">
        <v>0.42499999999999999</v>
      </c>
      <c r="E211" s="59">
        <v>1</v>
      </c>
      <c r="F211" s="55">
        <v>0</v>
      </c>
      <c r="G211" s="60">
        <f>F211/12</f>
        <v>0</v>
      </c>
      <c r="H211" s="64">
        <f>ROUND(C211*(1+D211)*E211*G211,0)</f>
        <v>0</v>
      </c>
      <c r="I211" s="134" t="s">
        <v>15</v>
      </c>
      <c r="J211" s="132" t="s">
        <v>23</v>
      </c>
      <c r="K211" s="106" t="s">
        <v>82</v>
      </c>
    </row>
    <row r="212" spans="1:11" x14ac:dyDescent="0.2">
      <c r="A212" s="47" t="s">
        <v>17</v>
      </c>
      <c r="B212" s="58" t="s">
        <v>17</v>
      </c>
      <c r="C212" s="52">
        <v>51151</v>
      </c>
      <c r="D212" s="53">
        <v>0.42499999999999999</v>
      </c>
      <c r="E212" s="59">
        <v>1</v>
      </c>
      <c r="F212" s="55">
        <v>4</v>
      </c>
      <c r="G212" s="60">
        <f>F212/12</f>
        <v>0.33333333333333331</v>
      </c>
      <c r="H212" s="57">
        <f>ROUND(C212*(1+D212)*E212*G212,0)</f>
        <v>24297</v>
      </c>
      <c r="I212" s="134" t="s">
        <v>15</v>
      </c>
      <c r="J212" s="132"/>
      <c r="K212" s="97"/>
    </row>
    <row r="213" spans="1:11" x14ac:dyDescent="0.2">
      <c r="A213" s="47" t="s">
        <v>18</v>
      </c>
      <c r="B213" s="58" t="s">
        <v>18</v>
      </c>
      <c r="C213" s="52">
        <v>54220</v>
      </c>
      <c r="D213" s="53">
        <v>0.42499999999999999</v>
      </c>
      <c r="E213" s="59">
        <v>1</v>
      </c>
      <c r="F213" s="55">
        <v>12</v>
      </c>
      <c r="G213" s="60">
        <f>F213/12</f>
        <v>1</v>
      </c>
      <c r="H213" s="57">
        <f>ROUND(C213*(1+D213)*E213*G213,0)</f>
        <v>77264</v>
      </c>
      <c r="I213" s="134" t="s">
        <v>15</v>
      </c>
      <c r="J213" s="132"/>
      <c r="K213" s="97"/>
    </row>
    <row r="214" spans="1:11" x14ac:dyDescent="0.2">
      <c r="A214" s="47" t="s">
        <v>19</v>
      </c>
      <c r="B214" s="58" t="s">
        <v>19</v>
      </c>
      <c r="C214" s="52">
        <v>57474</v>
      </c>
      <c r="D214" s="53">
        <v>0.42499999999999999</v>
      </c>
      <c r="E214" s="59">
        <v>1</v>
      </c>
      <c r="F214" s="55">
        <v>12</v>
      </c>
      <c r="G214" s="60">
        <f>F214/12</f>
        <v>1</v>
      </c>
      <c r="H214" s="57">
        <f>ROUND(C214*(1+D214)*E214*G214,0)</f>
        <v>81900</v>
      </c>
      <c r="I214" s="134" t="s">
        <v>15</v>
      </c>
      <c r="J214" s="132"/>
      <c r="K214" s="97"/>
    </row>
    <row r="215" spans="1:11" x14ac:dyDescent="0.2">
      <c r="A215" s="47" t="s">
        <v>20</v>
      </c>
      <c r="B215" s="58" t="s">
        <v>20</v>
      </c>
      <c r="C215" s="52">
        <v>60922</v>
      </c>
      <c r="D215" s="53">
        <v>0.42499999999999999</v>
      </c>
      <c r="E215" s="59">
        <v>1</v>
      </c>
      <c r="F215" s="55">
        <v>12</v>
      </c>
      <c r="G215" s="60">
        <f>F215/12</f>
        <v>1</v>
      </c>
      <c r="H215" s="57">
        <f>ROUND(C215*(1+D215)*E215*G215,0)</f>
        <v>86814</v>
      </c>
      <c r="I215" s="134" t="s">
        <v>15</v>
      </c>
      <c r="J215" s="132"/>
      <c r="K215" s="97"/>
    </row>
    <row r="216" spans="1:11" x14ac:dyDescent="0.2">
      <c r="A216" s="47"/>
      <c r="B216" s="1018" t="s">
        <v>83</v>
      </c>
      <c r="C216" s="1018"/>
      <c r="D216" s="1018"/>
      <c r="E216" s="1018"/>
      <c r="F216" s="1018"/>
      <c r="G216" s="1018"/>
      <c r="H216" s="1018"/>
      <c r="I216" s="1018"/>
      <c r="J216" s="1018"/>
      <c r="K216" s="98"/>
    </row>
    <row r="217" spans="1:11" ht="22.5" x14ac:dyDescent="0.2">
      <c r="A217" s="47" t="s">
        <v>13</v>
      </c>
      <c r="B217" s="146" t="s">
        <v>84</v>
      </c>
      <c r="C217" s="52">
        <v>48256</v>
      </c>
      <c r="D217" s="53">
        <v>0.42499999999999999</v>
      </c>
      <c r="E217" s="59">
        <v>1</v>
      </c>
      <c r="F217" s="55">
        <v>0</v>
      </c>
      <c r="G217" s="60">
        <f>F217/12</f>
        <v>0</v>
      </c>
      <c r="H217" s="64">
        <f>ROUND(C217*(1+D217)*E217*G217,0)</f>
        <v>0</v>
      </c>
      <c r="I217" s="134" t="s">
        <v>15</v>
      </c>
      <c r="J217" s="132" t="s">
        <v>23</v>
      </c>
      <c r="K217" s="106" t="s">
        <v>82</v>
      </c>
    </row>
    <row r="218" spans="1:11" x14ac:dyDescent="0.2">
      <c r="A218" s="47" t="s">
        <v>17</v>
      </c>
      <c r="B218" s="58" t="s">
        <v>17</v>
      </c>
      <c r="C218" s="52">
        <v>51151</v>
      </c>
      <c r="D218" s="53">
        <v>0.42499999999999999</v>
      </c>
      <c r="E218" s="59">
        <v>1</v>
      </c>
      <c r="F218" s="55">
        <v>4</v>
      </c>
      <c r="G218" s="60">
        <f>F218/12</f>
        <v>0.33333333333333331</v>
      </c>
      <c r="H218" s="57">
        <f>ROUND(C218*(1+D218)*E218*G218,0)</f>
        <v>24297</v>
      </c>
      <c r="I218" s="134" t="s">
        <v>15</v>
      </c>
      <c r="J218" s="132"/>
      <c r="K218" s="97"/>
    </row>
    <row r="219" spans="1:11" x14ac:dyDescent="0.2">
      <c r="A219" s="47" t="s">
        <v>18</v>
      </c>
      <c r="B219" s="58" t="s">
        <v>18</v>
      </c>
      <c r="C219" s="52">
        <v>54220</v>
      </c>
      <c r="D219" s="53">
        <v>0.42499999999999999</v>
      </c>
      <c r="E219" s="59">
        <v>1</v>
      </c>
      <c r="F219" s="55">
        <v>12</v>
      </c>
      <c r="G219" s="60">
        <f>F219/12</f>
        <v>1</v>
      </c>
      <c r="H219" s="57">
        <f>ROUND(C219*(1+D219)*E219*G219,0)</f>
        <v>77264</v>
      </c>
      <c r="I219" s="134" t="s">
        <v>15</v>
      </c>
      <c r="J219" s="132"/>
      <c r="K219" s="97"/>
    </row>
    <row r="220" spans="1:11" x14ac:dyDescent="0.2">
      <c r="A220" s="47" t="s">
        <v>19</v>
      </c>
      <c r="B220" s="58" t="s">
        <v>19</v>
      </c>
      <c r="C220" s="52">
        <v>57474</v>
      </c>
      <c r="D220" s="53">
        <v>0.42499999999999999</v>
      </c>
      <c r="E220" s="59">
        <v>1</v>
      </c>
      <c r="F220" s="55">
        <v>12</v>
      </c>
      <c r="G220" s="60">
        <f>F220/12</f>
        <v>1</v>
      </c>
      <c r="H220" s="57">
        <f>ROUND(C220*(1+D220)*E220*G220,0)</f>
        <v>81900</v>
      </c>
      <c r="I220" s="134" t="s">
        <v>15</v>
      </c>
      <c r="J220" s="132"/>
      <c r="K220" s="97"/>
    </row>
    <row r="221" spans="1:11" x14ac:dyDescent="0.2">
      <c r="A221" s="47" t="s">
        <v>20</v>
      </c>
      <c r="B221" s="58" t="s">
        <v>20</v>
      </c>
      <c r="C221" s="52">
        <v>60922</v>
      </c>
      <c r="D221" s="53">
        <v>0.42499999999999999</v>
      </c>
      <c r="E221" s="59">
        <v>1</v>
      </c>
      <c r="F221" s="55">
        <v>12</v>
      </c>
      <c r="G221" s="60">
        <f>F221/12</f>
        <v>1</v>
      </c>
      <c r="H221" s="57">
        <f>ROUND(C221*(1+D221)*E221*G221,0)</f>
        <v>86814</v>
      </c>
      <c r="I221" s="134" t="s">
        <v>15</v>
      </c>
      <c r="J221" s="132"/>
      <c r="K221" s="97"/>
    </row>
    <row r="222" spans="1:11" x14ac:dyDescent="0.2">
      <c r="A222" s="47"/>
      <c r="B222" s="1018" t="s">
        <v>83</v>
      </c>
      <c r="C222" s="1018"/>
      <c r="D222" s="1018"/>
      <c r="E222" s="1018"/>
      <c r="F222" s="1018"/>
      <c r="G222" s="1018"/>
      <c r="H222" s="1018"/>
      <c r="I222" s="1018"/>
      <c r="J222" s="1018"/>
      <c r="K222" s="98"/>
    </row>
    <row r="223" spans="1:11" ht="22.5" x14ac:dyDescent="0.2">
      <c r="A223" s="47" t="s">
        <v>13</v>
      </c>
      <c r="B223" s="146" t="s">
        <v>85</v>
      </c>
      <c r="C223" s="52">
        <v>48256</v>
      </c>
      <c r="D223" s="53">
        <v>0.42499999999999999</v>
      </c>
      <c r="E223" s="59">
        <v>1</v>
      </c>
      <c r="F223" s="55">
        <v>0</v>
      </c>
      <c r="G223" s="60">
        <f>F223/12</f>
        <v>0</v>
      </c>
      <c r="H223" s="64">
        <f>ROUND(C223*(1+D223)*E223*G223,0)</f>
        <v>0</v>
      </c>
      <c r="I223" s="134" t="s">
        <v>15</v>
      </c>
      <c r="J223" s="132" t="s">
        <v>23</v>
      </c>
      <c r="K223" s="106" t="s">
        <v>82</v>
      </c>
    </row>
    <row r="224" spans="1:11" x14ac:dyDescent="0.2">
      <c r="A224" s="47" t="s">
        <v>17</v>
      </c>
      <c r="B224" s="58" t="s">
        <v>17</v>
      </c>
      <c r="C224" s="52">
        <v>59640</v>
      </c>
      <c r="D224" s="53">
        <v>0.42499999999999999</v>
      </c>
      <c r="E224" s="59">
        <v>1</v>
      </c>
      <c r="F224" s="55">
        <v>4</v>
      </c>
      <c r="G224" s="60">
        <f>F224/12</f>
        <v>0.33333333333333331</v>
      </c>
      <c r="H224" s="57">
        <f>ROUND(C224*(1+D224)*E224*G224,0)</f>
        <v>28329</v>
      </c>
      <c r="I224" s="134" t="s">
        <v>15</v>
      </c>
      <c r="J224" s="132"/>
      <c r="K224" s="97"/>
    </row>
    <row r="225" spans="1:11" x14ac:dyDescent="0.2">
      <c r="A225" s="47" t="s">
        <v>18</v>
      </c>
      <c r="B225" s="58" t="s">
        <v>18</v>
      </c>
      <c r="C225" s="52">
        <v>63218</v>
      </c>
      <c r="D225" s="53">
        <v>0.42499999999999999</v>
      </c>
      <c r="E225" s="59">
        <v>1</v>
      </c>
      <c r="F225" s="55">
        <v>12</v>
      </c>
      <c r="G225" s="60">
        <f>F225/12</f>
        <v>1</v>
      </c>
      <c r="H225" s="57">
        <f>ROUND(C225*(1+D225)*E225*G225,0)</f>
        <v>90086</v>
      </c>
      <c r="I225" s="134" t="s">
        <v>15</v>
      </c>
      <c r="J225" s="132"/>
      <c r="K225" s="97"/>
    </row>
    <row r="226" spans="1:11" x14ac:dyDescent="0.2">
      <c r="A226" s="47" t="s">
        <v>19</v>
      </c>
      <c r="B226" s="58" t="s">
        <v>19</v>
      </c>
      <c r="C226" s="52">
        <v>67011</v>
      </c>
      <c r="D226" s="53">
        <v>0.42499999999999999</v>
      </c>
      <c r="E226" s="59">
        <v>1</v>
      </c>
      <c r="F226" s="55">
        <v>12</v>
      </c>
      <c r="G226" s="60">
        <f>F226/12</f>
        <v>1</v>
      </c>
      <c r="H226" s="57">
        <f>ROUND(C226*(1+D226)*E226*G226,0)</f>
        <v>95491</v>
      </c>
      <c r="I226" s="134" t="s">
        <v>15</v>
      </c>
      <c r="J226" s="132"/>
      <c r="K226" s="97"/>
    </row>
    <row r="227" spans="1:11" x14ac:dyDescent="0.2">
      <c r="A227" s="47" t="s">
        <v>20</v>
      </c>
      <c r="B227" s="58" t="s">
        <v>20</v>
      </c>
      <c r="C227" s="52">
        <v>71032</v>
      </c>
      <c r="D227" s="53">
        <v>0.42499999999999999</v>
      </c>
      <c r="E227" s="59">
        <v>1</v>
      </c>
      <c r="F227" s="55">
        <v>12</v>
      </c>
      <c r="G227" s="60">
        <f>F227/12</f>
        <v>1</v>
      </c>
      <c r="H227" s="57">
        <f>ROUND(C227*(1+D227)*E227*G227,0)</f>
        <v>101221</v>
      </c>
      <c r="I227" s="134" t="s">
        <v>15</v>
      </c>
      <c r="J227" s="132"/>
      <c r="K227" s="97"/>
    </row>
    <row r="228" spans="1:11" ht="12" customHeight="1" x14ac:dyDescent="0.2">
      <c r="A228" s="47"/>
      <c r="B228" s="1018" t="s">
        <v>83</v>
      </c>
      <c r="C228" s="1018"/>
      <c r="D228" s="1018"/>
      <c r="E228" s="1018"/>
      <c r="F228" s="1018"/>
      <c r="G228" s="1018"/>
      <c r="H228" s="1018"/>
      <c r="I228" s="1018"/>
      <c r="J228" s="1018"/>
      <c r="K228" s="98"/>
    </row>
    <row r="229" spans="1:11" ht="22.5" x14ac:dyDescent="0.2">
      <c r="A229" s="47" t="s">
        <v>13</v>
      </c>
      <c r="B229" s="146" t="s">
        <v>86</v>
      </c>
      <c r="C229" s="52">
        <v>48256</v>
      </c>
      <c r="D229" s="53">
        <v>0.42499999999999999</v>
      </c>
      <c r="E229" s="59">
        <v>1</v>
      </c>
      <c r="F229" s="55">
        <v>0</v>
      </c>
      <c r="G229" s="60">
        <f>F229/12</f>
        <v>0</v>
      </c>
      <c r="H229" s="64">
        <f>ROUND(C229*(1+D229)*E229*G229,0)</f>
        <v>0</v>
      </c>
      <c r="I229" s="134" t="s">
        <v>15</v>
      </c>
      <c r="J229" s="132" t="s">
        <v>23</v>
      </c>
      <c r="K229" s="106" t="s">
        <v>82</v>
      </c>
    </row>
    <row r="230" spans="1:11" x14ac:dyDescent="0.2">
      <c r="A230" s="47" t="s">
        <v>17</v>
      </c>
      <c r="B230" s="58" t="s">
        <v>17</v>
      </c>
      <c r="C230" s="52">
        <v>51151</v>
      </c>
      <c r="D230" s="53">
        <v>0.42499999999999999</v>
      </c>
      <c r="E230" s="59">
        <v>1</v>
      </c>
      <c r="F230" s="55">
        <v>4</v>
      </c>
      <c r="G230" s="60">
        <f>F230/12</f>
        <v>0.33333333333333331</v>
      </c>
      <c r="H230" s="57">
        <f>ROUND(C230*(1+D230)*E230*G230,0)</f>
        <v>24297</v>
      </c>
      <c r="I230" s="134" t="s">
        <v>15</v>
      </c>
      <c r="J230" s="132"/>
      <c r="K230" s="97"/>
    </row>
    <row r="231" spans="1:11" x14ac:dyDescent="0.2">
      <c r="A231" s="47" t="s">
        <v>18</v>
      </c>
      <c r="B231" s="58" t="s">
        <v>18</v>
      </c>
      <c r="C231" s="52">
        <v>54220</v>
      </c>
      <c r="D231" s="53">
        <v>0.42499999999999999</v>
      </c>
      <c r="E231" s="59">
        <v>1</v>
      </c>
      <c r="F231" s="55">
        <v>12</v>
      </c>
      <c r="G231" s="60">
        <f>F231/12</f>
        <v>1</v>
      </c>
      <c r="H231" s="57">
        <f>ROUND(C231*(1+D231)*E231*G231,0)</f>
        <v>77264</v>
      </c>
      <c r="I231" s="134" t="s">
        <v>15</v>
      </c>
      <c r="J231" s="132"/>
      <c r="K231" s="97"/>
    </row>
    <row r="232" spans="1:11" x14ac:dyDescent="0.2">
      <c r="A232" s="47" t="s">
        <v>19</v>
      </c>
      <c r="B232" s="58" t="s">
        <v>19</v>
      </c>
      <c r="C232" s="52">
        <v>57474</v>
      </c>
      <c r="D232" s="53">
        <v>0.42499999999999999</v>
      </c>
      <c r="E232" s="59">
        <v>1</v>
      </c>
      <c r="F232" s="55">
        <v>12</v>
      </c>
      <c r="G232" s="60">
        <f>F232/12</f>
        <v>1</v>
      </c>
      <c r="H232" s="57">
        <f>ROUND(C232*(1+D232)*E232*G232,0)</f>
        <v>81900</v>
      </c>
      <c r="I232" s="134" t="s">
        <v>15</v>
      </c>
      <c r="J232" s="132"/>
      <c r="K232" s="97"/>
    </row>
    <row r="233" spans="1:11" x14ac:dyDescent="0.2">
      <c r="A233" s="47" t="s">
        <v>20</v>
      </c>
      <c r="B233" s="58" t="s">
        <v>20</v>
      </c>
      <c r="C233" s="52">
        <v>60922</v>
      </c>
      <c r="D233" s="53">
        <v>0.42499999999999999</v>
      </c>
      <c r="E233" s="59">
        <v>1</v>
      </c>
      <c r="F233" s="55">
        <v>12</v>
      </c>
      <c r="G233" s="60">
        <f>F233/12</f>
        <v>1</v>
      </c>
      <c r="H233" s="57">
        <f>ROUND(C233*(1+D233)*E233*G233,0)</f>
        <v>86814</v>
      </c>
      <c r="I233" s="134" t="s">
        <v>15</v>
      </c>
      <c r="J233" s="132"/>
      <c r="K233" s="97"/>
    </row>
    <row r="234" spans="1:11" x14ac:dyDescent="0.2">
      <c r="A234" s="47"/>
      <c r="B234" s="1018" t="s">
        <v>83</v>
      </c>
      <c r="C234" s="1018"/>
      <c r="D234" s="1018"/>
      <c r="E234" s="1018"/>
      <c r="F234" s="1018"/>
      <c r="G234" s="1018"/>
      <c r="H234" s="1018"/>
      <c r="I234" s="1018"/>
      <c r="J234" s="1018"/>
      <c r="K234" s="98"/>
    </row>
    <row r="235" spans="1:11" ht="22.5" x14ac:dyDescent="0.2">
      <c r="A235" s="47" t="s">
        <v>13</v>
      </c>
      <c r="B235" s="146" t="s">
        <v>87</v>
      </c>
      <c r="C235" s="52">
        <v>48256</v>
      </c>
      <c r="D235" s="53">
        <v>0.42499999999999999</v>
      </c>
      <c r="E235" s="59">
        <v>1</v>
      </c>
      <c r="F235" s="55">
        <v>0</v>
      </c>
      <c r="G235" s="60">
        <f>F235/12</f>
        <v>0</v>
      </c>
      <c r="H235" s="64">
        <f>ROUND(C235*(1+D235)*E235*G235,0)</f>
        <v>0</v>
      </c>
      <c r="I235" s="134" t="s">
        <v>15</v>
      </c>
      <c r="J235" s="132" t="s">
        <v>23</v>
      </c>
      <c r="K235" s="106" t="s">
        <v>82</v>
      </c>
    </row>
    <row r="236" spans="1:11" x14ac:dyDescent="0.2">
      <c r="A236" s="47" t="s">
        <v>17</v>
      </c>
      <c r="B236" s="58" t="s">
        <v>17</v>
      </c>
      <c r="C236" s="52">
        <v>51151</v>
      </c>
      <c r="D236" s="53">
        <v>0.42499999999999999</v>
      </c>
      <c r="E236" s="59">
        <v>1</v>
      </c>
      <c r="F236" s="55">
        <v>4</v>
      </c>
      <c r="G236" s="60">
        <f>F236/12</f>
        <v>0.33333333333333331</v>
      </c>
      <c r="H236" s="57">
        <f>ROUND(C236*(1+D236)*E236*G236,0)</f>
        <v>24297</v>
      </c>
      <c r="I236" s="134" t="s">
        <v>15</v>
      </c>
      <c r="J236" s="132"/>
      <c r="K236" s="97"/>
    </row>
    <row r="237" spans="1:11" x14ac:dyDescent="0.2">
      <c r="A237" s="47" t="s">
        <v>18</v>
      </c>
      <c r="B237" s="58" t="s">
        <v>18</v>
      </c>
      <c r="C237" s="52">
        <v>54220</v>
      </c>
      <c r="D237" s="53">
        <v>0.42499999999999999</v>
      </c>
      <c r="E237" s="59">
        <v>1</v>
      </c>
      <c r="F237" s="55">
        <v>12</v>
      </c>
      <c r="G237" s="60">
        <f>F237/12</f>
        <v>1</v>
      </c>
      <c r="H237" s="57">
        <f>ROUND(C237*(1+D237)*E237*G237,0)</f>
        <v>77264</v>
      </c>
      <c r="I237" s="134" t="s">
        <v>15</v>
      </c>
      <c r="J237" s="132"/>
      <c r="K237" s="97"/>
    </row>
    <row r="238" spans="1:11" x14ac:dyDescent="0.2">
      <c r="A238" s="47" t="s">
        <v>19</v>
      </c>
      <c r="B238" s="58" t="s">
        <v>19</v>
      </c>
      <c r="C238" s="52">
        <v>57474</v>
      </c>
      <c r="D238" s="53">
        <v>0.42499999999999999</v>
      </c>
      <c r="E238" s="59">
        <v>1</v>
      </c>
      <c r="F238" s="55">
        <v>12</v>
      </c>
      <c r="G238" s="60">
        <f>F238/12</f>
        <v>1</v>
      </c>
      <c r="H238" s="57">
        <f>ROUND(C238*(1+D238)*E238*G238,0)</f>
        <v>81900</v>
      </c>
      <c r="I238" s="134" t="s">
        <v>15</v>
      </c>
      <c r="J238" s="132"/>
      <c r="K238" s="97"/>
    </row>
    <row r="239" spans="1:11" x14ac:dyDescent="0.2">
      <c r="A239" s="47" t="s">
        <v>20</v>
      </c>
      <c r="B239" s="58" t="s">
        <v>20</v>
      </c>
      <c r="C239" s="52">
        <v>60922</v>
      </c>
      <c r="D239" s="53">
        <v>0.42499999999999999</v>
      </c>
      <c r="E239" s="59">
        <v>1</v>
      </c>
      <c r="F239" s="55">
        <v>12</v>
      </c>
      <c r="G239" s="60">
        <f>F239/12</f>
        <v>1</v>
      </c>
      <c r="H239" s="57">
        <f>ROUND(C239*(1+D239)*E239*G239,0)</f>
        <v>86814</v>
      </c>
      <c r="I239" s="134" t="s">
        <v>15</v>
      </c>
      <c r="J239" s="132"/>
      <c r="K239" s="97"/>
    </row>
    <row r="240" spans="1:11" x14ac:dyDescent="0.2">
      <c r="A240" s="47"/>
      <c r="B240" s="1018" t="s">
        <v>83</v>
      </c>
      <c r="C240" s="1018"/>
      <c r="D240" s="1018"/>
      <c r="E240" s="1018"/>
      <c r="F240" s="1018"/>
      <c r="G240" s="1018"/>
      <c r="H240" s="1018"/>
      <c r="I240" s="1018"/>
      <c r="J240" s="1018"/>
      <c r="K240" s="98"/>
    </row>
    <row r="241" spans="1:11" ht="22.5" x14ac:dyDescent="0.2">
      <c r="A241" s="47" t="s">
        <v>13</v>
      </c>
      <c r="B241" s="146" t="s">
        <v>88</v>
      </c>
      <c r="C241" s="52">
        <v>48256</v>
      </c>
      <c r="D241" s="53">
        <v>0.42499999999999999</v>
      </c>
      <c r="E241" s="59">
        <v>1</v>
      </c>
      <c r="F241" s="55">
        <v>0</v>
      </c>
      <c r="G241" s="60">
        <f>F241/12</f>
        <v>0</v>
      </c>
      <c r="H241" s="64">
        <f>ROUND(C241*(1+D241)*E241*G241,0)</f>
        <v>0</v>
      </c>
      <c r="I241" s="134" t="s">
        <v>15</v>
      </c>
      <c r="J241" s="132" t="s">
        <v>23</v>
      </c>
      <c r="K241" s="106" t="s">
        <v>82</v>
      </c>
    </row>
    <row r="242" spans="1:11" x14ac:dyDescent="0.2">
      <c r="A242" s="47" t="s">
        <v>17</v>
      </c>
      <c r="B242" s="58" t="s">
        <v>17</v>
      </c>
      <c r="C242" s="52">
        <v>59640</v>
      </c>
      <c r="D242" s="53">
        <v>0.42499999999999999</v>
      </c>
      <c r="E242" s="59">
        <v>1</v>
      </c>
      <c r="F242" s="55">
        <v>4</v>
      </c>
      <c r="G242" s="60">
        <f>F242/12</f>
        <v>0.33333333333333331</v>
      </c>
      <c r="H242" s="57">
        <f>ROUND(C242*(1+D242)*E242*G242,0)</f>
        <v>28329</v>
      </c>
      <c r="I242" s="134" t="s">
        <v>15</v>
      </c>
      <c r="J242" s="132"/>
      <c r="K242" s="97"/>
    </row>
    <row r="243" spans="1:11" x14ac:dyDescent="0.2">
      <c r="A243" s="47" t="s">
        <v>18</v>
      </c>
      <c r="B243" s="58" t="s">
        <v>18</v>
      </c>
      <c r="C243" s="52">
        <v>63218</v>
      </c>
      <c r="D243" s="53">
        <v>0.42499999999999999</v>
      </c>
      <c r="E243" s="59">
        <v>1</v>
      </c>
      <c r="F243" s="55">
        <v>12</v>
      </c>
      <c r="G243" s="60">
        <f>F243/12</f>
        <v>1</v>
      </c>
      <c r="H243" s="57">
        <f>ROUND(C243*(1+D243)*E243*G243,0)</f>
        <v>90086</v>
      </c>
      <c r="I243" s="134" t="s">
        <v>15</v>
      </c>
      <c r="J243" s="132"/>
      <c r="K243" s="97"/>
    </row>
    <row r="244" spans="1:11" x14ac:dyDescent="0.2">
      <c r="A244" s="47" t="s">
        <v>19</v>
      </c>
      <c r="B244" s="58" t="s">
        <v>19</v>
      </c>
      <c r="C244" s="52">
        <v>67011</v>
      </c>
      <c r="D244" s="53">
        <v>0.42499999999999999</v>
      </c>
      <c r="E244" s="59">
        <v>1</v>
      </c>
      <c r="F244" s="55">
        <v>12</v>
      </c>
      <c r="G244" s="60">
        <f>F244/12</f>
        <v>1</v>
      </c>
      <c r="H244" s="57">
        <f>ROUND(C244*(1+D244)*E244*G244,0)</f>
        <v>95491</v>
      </c>
      <c r="I244" s="134" t="s">
        <v>15</v>
      </c>
      <c r="J244" s="132"/>
      <c r="K244" s="97"/>
    </row>
    <row r="245" spans="1:11" x14ac:dyDescent="0.2">
      <c r="A245" s="47" t="s">
        <v>20</v>
      </c>
      <c r="B245" s="58" t="s">
        <v>20</v>
      </c>
      <c r="C245" s="52">
        <v>71032</v>
      </c>
      <c r="D245" s="53">
        <v>0.42499999999999999</v>
      </c>
      <c r="E245" s="59">
        <v>1</v>
      </c>
      <c r="F245" s="55">
        <v>12</v>
      </c>
      <c r="G245" s="60">
        <f>F245/12</f>
        <v>1</v>
      </c>
      <c r="H245" s="57">
        <f>ROUND(C245*(1+D245)*E245*G245,0)</f>
        <v>101221</v>
      </c>
      <c r="I245" s="134" t="s">
        <v>15</v>
      </c>
      <c r="J245" s="132"/>
      <c r="K245" s="97"/>
    </row>
    <row r="246" spans="1:11" x14ac:dyDescent="0.2">
      <c r="A246" s="47"/>
      <c r="B246" s="1018" t="s">
        <v>83</v>
      </c>
      <c r="C246" s="1018"/>
      <c r="D246" s="1018"/>
      <c r="E246" s="1018"/>
      <c r="F246" s="1018"/>
      <c r="G246" s="1018"/>
      <c r="H246" s="1018"/>
      <c r="I246" s="1018"/>
      <c r="J246" s="1018"/>
      <c r="K246" s="98"/>
    </row>
    <row r="247" spans="1:11" ht="22.5" x14ac:dyDescent="0.2">
      <c r="A247" s="47" t="s">
        <v>13</v>
      </c>
      <c r="B247" s="146" t="s">
        <v>89</v>
      </c>
      <c r="C247" s="52">
        <v>48256</v>
      </c>
      <c r="D247" s="53">
        <v>0.42499999999999999</v>
      </c>
      <c r="E247" s="59">
        <v>1</v>
      </c>
      <c r="F247" s="55">
        <v>0</v>
      </c>
      <c r="G247" s="60">
        <f>F247/12</f>
        <v>0</v>
      </c>
      <c r="H247" s="64">
        <f>ROUND(C247*(1+D247)*E247*G247,0)</f>
        <v>0</v>
      </c>
      <c r="I247" s="134" t="s">
        <v>15</v>
      </c>
      <c r="J247" s="132" t="s">
        <v>23</v>
      </c>
      <c r="K247" s="106" t="s">
        <v>82</v>
      </c>
    </row>
    <row r="248" spans="1:11" x14ac:dyDescent="0.2">
      <c r="A248" s="47" t="s">
        <v>17</v>
      </c>
      <c r="B248" s="58" t="s">
        <v>17</v>
      </c>
      <c r="C248" s="52">
        <v>59640</v>
      </c>
      <c r="D248" s="53">
        <v>0.42499999999999999</v>
      </c>
      <c r="E248" s="59">
        <v>1</v>
      </c>
      <c r="F248" s="55">
        <v>4</v>
      </c>
      <c r="G248" s="60">
        <f>F248/12</f>
        <v>0.33333333333333331</v>
      </c>
      <c r="H248" s="57">
        <f>ROUND(C248*(1+D248)*E248*G248,0)</f>
        <v>28329</v>
      </c>
      <c r="I248" s="134" t="s">
        <v>15</v>
      </c>
      <c r="J248" s="132"/>
      <c r="K248" s="97"/>
    </row>
    <row r="249" spans="1:11" x14ac:dyDescent="0.2">
      <c r="A249" s="47" t="s">
        <v>18</v>
      </c>
      <c r="B249" s="58" t="s">
        <v>18</v>
      </c>
      <c r="C249" s="52">
        <v>63218</v>
      </c>
      <c r="D249" s="53">
        <v>0.42499999999999999</v>
      </c>
      <c r="E249" s="59">
        <v>1</v>
      </c>
      <c r="F249" s="55">
        <v>12</v>
      </c>
      <c r="G249" s="60">
        <f>F249/12</f>
        <v>1</v>
      </c>
      <c r="H249" s="57">
        <f>ROUND(C249*(1+D249)*E249*G249,0)</f>
        <v>90086</v>
      </c>
      <c r="I249" s="134" t="s">
        <v>15</v>
      </c>
      <c r="J249" s="132"/>
      <c r="K249" s="97"/>
    </row>
    <row r="250" spans="1:11" x14ac:dyDescent="0.2">
      <c r="A250" s="47" t="s">
        <v>19</v>
      </c>
      <c r="B250" s="58" t="s">
        <v>19</v>
      </c>
      <c r="C250" s="52">
        <v>67011</v>
      </c>
      <c r="D250" s="53">
        <v>0.42499999999999999</v>
      </c>
      <c r="E250" s="59">
        <v>1</v>
      </c>
      <c r="F250" s="55">
        <v>12</v>
      </c>
      <c r="G250" s="60">
        <f>F250/12</f>
        <v>1</v>
      </c>
      <c r="H250" s="57">
        <f>ROUND(C250*(1+D250)*E250*G250,0)</f>
        <v>95491</v>
      </c>
      <c r="I250" s="134" t="s">
        <v>15</v>
      </c>
      <c r="J250" s="132"/>
      <c r="K250" s="97"/>
    </row>
    <row r="251" spans="1:11" x14ac:dyDescent="0.2">
      <c r="A251" s="47" t="s">
        <v>20</v>
      </c>
      <c r="B251" s="58" t="s">
        <v>20</v>
      </c>
      <c r="C251" s="52">
        <v>71032</v>
      </c>
      <c r="D251" s="53">
        <v>0.42499999999999999</v>
      </c>
      <c r="E251" s="59">
        <v>1</v>
      </c>
      <c r="F251" s="55">
        <v>12</v>
      </c>
      <c r="G251" s="60">
        <f>F251/12</f>
        <v>1</v>
      </c>
      <c r="H251" s="57">
        <f>ROUND(C251*(1+D251)*E251*G251,0)</f>
        <v>101221</v>
      </c>
      <c r="I251" s="134" t="s">
        <v>15</v>
      </c>
      <c r="J251" s="132"/>
      <c r="K251" s="97"/>
    </row>
    <row r="252" spans="1:11" x14ac:dyDescent="0.2">
      <c r="A252" s="47"/>
      <c r="B252" s="1018" t="s">
        <v>83</v>
      </c>
      <c r="C252" s="1018"/>
      <c r="D252" s="1018"/>
      <c r="E252" s="1018"/>
      <c r="F252" s="1018"/>
      <c r="G252" s="1018"/>
      <c r="H252" s="1018"/>
      <c r="I252" s="1018"/>
      <c r="J252" s="1018"/>
      <c r="K252" s="98"/>
    </row>
    <row r="253" spans="1:11" ht="22.5" x14ac:dyDescent="0.2">
      <c r="A253" s="47" t="s">
        <v>13</v>
      </c>
      <c r="B253" s="146" t="s">
        <v>90</v>
      </c>
      <c r="C253" s="52">
        <v>70844.800000000003</v>
      </c>
      <c r="D253" s="53">
        <v>0.42499999999999999</v>
      </c>
      <c r="E253" s="59">
        <v>0.31</v>
      </c>
      <c r="F253" s="55">
        <v>0</v>
      </c>
      <c r="G253" s="60">
        <f>F253/12</f>
        <v>0</v>
      </c>
      <c r="H253" s="64">
        <f>ROUND(C253*(1+D253)*E253*G253,0)</f>
        <v>0</v>
      </c>
      <c r="I253" s="134" t="s">
        <v>15</v>
      </c>
      <c r="J253" s="132" t="s">
        <v>16</v>
      </c>
      <c r="K253" s="97"/>
    </row>
    <row r="254" spans="1:11" x14ac:dyDescent="0.2">
      <c r="A254" s="47" t="s">
        <v>17</v>
      </c>
      <c r="B254" s="58" t="s">
        <v>17</v>
      </c>
      <c r="C254" s="52">
        <v>75095</v>
      </c>
      <c r="D254" s="53">
        <v>0.42499999999999999</v>
      </c>
      <c r="E254" s="59">
        <v>0.31</v>
      </c>
      <c r="F254" s="55">
        <v>12</v>
      </c>
      <c r="G254" s="60">
        <f>F254/12</f>
        <v>1</v>
      </c>
      <c r="H254" s="57">
        <f>ROUND(C254*(1+D254)*E254*G254,0)</f>
        <v>33173</v>
      </c>
      <c r="I254" s="134" t="s">
        <v>15</v>
      </c>
      <c r="J254" s="132"/>
      <c r="K254" s="97"/>
    </row>
    <row r="255" spans="1:11" x14ac:dyDescent="0.2">
      <c r="A255" s="47" t="s">
        <v>18</v>
      </c>
      <c r="B255" s="58" t="s">
        <v>18</v>
      </c>
      <c r="C255" s="52">
        <v>79601</v>
      </c>
      <c r="D255" s="53">
        <v>0.42499999999999999</v>
      </c>
      <c r="E255" s="59">
        <v>0.31</v>
      </c>
      <c r="F255" s="55">
        <v>12</v>
      </c>
      <c r="G255" s="60">
        <f>F255/12</f>
        <v>1</v>
      </c>
      <c r="H255" s="57">
        <f>ROUND(C255*(1+D255)*E255*G255,0)</f>
        <v>35164</v>
      </c>
      <c r="I255" s="134" t="s">
        <v>15</v>
      </c>
      <c r="J255" s="132"/>
      <c r="K255" s="97"/>
    </row>
    <row r="256" spans="1:11" x14ac:dyDescent="0.2">
      <c r="A256" s="47" t="s">
        <v>19</v>
      </c>
      <c r="B256" s="58" t="s">
        <v>19</v>
      </c>
      <c r="C256" s="52">
        <v>84377</v>
      </c>
      <c r="D256" s="53">
        <v>0.42499999999999999</v>
      </c>
      <c r="E256" s="59">
        <v>0.31</v>
      </c>
      <c r="F256" s="55">
        <v>12</v>
      </c>
      <c r="G256" s="60">
        <f>F256/12</f>
        <v>1</v>
      </c>
      <c r="H256" s="57">
        <f>ROUND(C256*(1+D256)*E256*G256,0)</f>
        <v>37274</v>
      </c>
      <c r="I256" s="134" t="s">
        <v>15</v>
      </c>
      <c r="J256" s="132"/>
      <c r="K256" s="97"/>
    </row>
    <row r="257" spans="1:11" x14ac:dyDescent="0.2">
      <c r="A257" s="47" t="s">
        <v>20</v>
      </c>
      <c r="B257" s="58" t="s">
        <v>20</v>
      </c>
      <c r="C257" s="52">
        <v>89440</v>
      </c>
      <c r="D257" s="53">
        <v>0.42499999999999999</v>
      </c>
      <c r="E257" s="59">
        <v>0.31</v>
      </c>
      <c r="F257" s="55">
        <v>12</v>
      </c>
      <c r="G257" s="60">
        <f>F257/12</f>
        <v>1</v>
      </c>
      <c r="H257" s="57">
        <f>ROUND(C257*(1+D257)*E257*G257,0)</f>
        <v>39510</v>
      </c>
      <c r="I257" s="134" t="s">
        <v>15</v>
      </c>
      <c r="J257" s="132"/>
      <c r="K257" s="97"/>
    </row>
    <row r="258" spans="1:11" x14ac:dyDescent="0.2">
      <c r="A258" s="47"/>
      <c r="B258" s="1018" t="s">
        <v>91</v>
      </c>
      <c r="C258" s="1018"/>
      <c r="D258" s="1018"/>
      <c r="E258" s="1018"/>
      <c r="F258" s="1018"/>
      <c r="G258" s="1018"/>
      <c r="H258" s="1018"/>
      <c r="I258" s="1018"/>
      <c r="J258" s="1018"/>
      <c r="K258" s="98"/>
    </row>
    <row r="259" spans="1:11" ht="22.5" x14ac:dyDescent="0.2">
      <c r="A259" s="47" t="s">
        <v>13</v>
      </c>
      <c r="B259" s="58" t="s">
        <v>92</v>
      </c>
      <c r="C259" s="52">
        <v>82618</v>
      </c>
      <c r="D259" s="53">
        <v>0.42499999999999999</v>
      </c>
      <c r="E259" s="59">
        <v>1</v>
      </c>
      <c r="F259" s="55">
        <v>9</v>
      </c>
      <c r="G259" s="60">
        <f>F259/12</f>
        <v>0.75</v>
      </c>
      <c r="H259" s="64">
        <f>ROUND(C259*(1+D259)*E259*G259,0)</f>
        <v>88298</v>
      </c>
      <c r="I259" s="134" t="s">
        <v>15</v>
      </c>
      <c r="J259" s="132" t="s">
        <v>73</v>
      </c>
      <c r="K259" s="97"/>
    </row>
    <row r="260" spans="1:11" x14ac:dyDescent="0.2">
      <c r="A260" s="47" t="s">
        <v>17</v>
      </c>
      <c r="B260" s="58" t="s">
        <v>17</v>
      </c>
      <c r="C260" s="52">
        <v>87575</v>
      </c>
      <c r="D260" s="53">
        <v>0.42499999999999999</v>
      </c>
      <c r="E260" s="59">
        <v>1</v>
      </c>
      <c r="F260" s="55">
        <v>12</v>
      </c>
      <c r="G260" s="60">
        <f>F260/12</f>
        <v>1</v>
      </c>
      <c r="H260" s="57">
        <f>ROUND(C260*(1+D260)*E260*G260,0)</f>
        <v>124794</v>
      </c>
      <c r="I260" s="134" t="s">
        <v>15</v>
      </c>
      <c r="J260" s="132"/>
      <c r="K260" s="97"/>
    </row>
    <row r="261" spans="1:11" x14ac:dyDescent="0.2">
      <c r="A261" s="47" t="s">
        <v>18</v>
      </c>
      <c r="B261" s="58" t="s">
        <v>18</v>
      </c>
      <c r="C261" s="52">
        <v>92829</v>
      </c>
      <c r="D261" s="53">
        <v>0.42499999999999999</v>
      </c>
      <c r="E261" s="59">
        <v>1</v>
      </c>
      <c r="F261" s="55">
        <v>12</v>
      </c>
      <c r="G261" s="60">
        <f>F261/12</f>
        <v>1</v>
      </c>
      <c r="H261" s="57">
        <f>ROUND(C261*(1+D261)*E261*G261,0)</f>
        <v>132281</v>
      </c>
      <c r="I261" s="134" t="s">
        <v>15</v>
      </c>
      <c r="J261" s="132"/>
      <c r="K261" s="97"/>
    </row>
    <row r="262" spans="1:11" x14ac:dyDescent="0.2">
      <c r="A262" s="47" t="s">
        <v>19</v>
      </c>
      <c r="B262" s="58" t="s">
        <v>19</v>
      </c>
      <c r="C262" s="52">
        <v>98399</v>
      </c>
      <c r="D262" s="53">
        <v>0.42499999999999999</v>
      </c>
      <c r="E262" s="59">
        <v>1</v>
      </c>
      <c r="F262" s="55">
        <v>12</v>
      </c>
      <c r="G262" s="60">
        <f>F262/12</f>
        <v>1</v>
      </c>
      <c r="H262" s="57">
        <f>ROUND(C262*(1+D262)*E262*G262,0)</f>
        <v>140219</v>
      </c>
      <c r="I262" s="134" t="s">
        <v>15</v>
      </c>
      <c r="J262" s="132"/>
      <c r="K262" s="97"/>
    </row>
    <row r="263" spans="1:11" x14ac:dyDescent="0.2">
      <c r="A263" s="47" t="s">
        <v>20</v>
      </c>
      <c r="B263" s="58" t="s">
        <v>20</v>
      </c>
      <c r="C263" s="52">
        <v>104303</v>
      </c>
      <c r="D263" s="53">
        <v>0.42499999999999999</v>
      </c>
      <c r="E263" s="59">
        <v>1</v>
      </c>
      <c r="F263" s="55">
        <v>12</v>
      </c>
      <c r="G263" s="60">
        <f>F263/12</f>
        <v>1</v>
      </c>
      <c r="H263" s="57">
        <f>ROUND(C263*(1+D263)*E263*G263,0)</f>
        <v>148632</v>
      </c>
      <c r="I263" s="134" t="s">
        <v>15</v>
      </c>
      <c r="J263" s="132"/>
      <c r="K263" s="97"/>
    </row>
    <row r="264" spans="1:11" x14ac:dyDescent="0.2">
      <c r="A264" s="47"/>
      <c r="B264" s="1018" t="s">
        <v>93</v>
      </c>
      <c r="C264" s="1018"/>
      <c r="D264" s="1018"/>
      <c r="E264" s="1018"/>
      <c r="F264" s="1018"/>
      <c r="G264" s="1018"/>
      <c r="H264" s="1018"/>
      <c r="I264" s="1018"/>
      <c r="J264" s="1018"/>
      <c r="K264" s="98"/>
    </row>
    <row r="265" spans="1:11" ht="22.5" x14ac:dyDescent="0.2">
      <c r="A265" s="47" t="s">
        <v>13</v>
      </c>
      <c r="B265" s="58" t="s">
        <v>94</v>
      </c>
      <c r="C265" s="52">
        <v>62338</v>
      </c>
      <c r="D265" s="53">
        <v>0.42499999999999999</v>
      </c>
      <c r="E265" s="59">
        <v>1</v>
      </c>
      <c r="F265" s="55">
        <v>9</v>
      </c>
      <c r="G265" s="60">
        <f>F265/12</f>
        <v>0.75</v>
      </c>
      <c r="H265" s="64">
        <f>ROUND(C265*(1+D265)*E265*G265,0)</f>
        <v>66624</v>
      </c>
      <c r="I265" s="134" t="s">
        <v>15</v>
      </c>
      <c r="J265" s="132" t="s">
        <v>23</v>
      </c>
      <c r="K265" s="97"/>
    </row>
    <row r="266" spans="1:11" x14ac:dyDescent="0.2">
      <c r="A266" s="47" t="s">
        <v>17</v>
      </c>
      <c r="B266" s="58" t="s">
        <v>17</v>
      </c>
      <c r="C266" s="52">
        <v>66078</v>
      </c>
      <c r="D266" s="53">
        <v>0.42499999999999999</v>
      </c>
      <c r="E266" s="59">
        <v>1</v>
      </c>
      <c r="F266" s="55">
        <v>12</v>
      </c>
      <c r="G266" s="60">
        <f>F266/12</f>
        <v>1</v>
      </c>
      <c r="H266" s="57">
        <f>ROUND(C266*(1+D266)*E266*G266,0)</f>
        <v>94161</v>
      </c>
      <c r="I266" s="134" t="s">
        <v>15</v>
      </c>
      <c r="J266" s="132"/>
      <c r="K266" s="97"/>
    </row>
    <row r="267" spans="1:11" x14ac:dyDescent="0.2">
      <c r="A267" s="47" t="s">
        <v>18</v>
      </c>
      <c r="B267" s="58" t="s">
        <v>18</v>
      </c>
      <c r="C267" s="52">
        <v>70043</v>
      </c>
      <c r="D267" s="53">
        <v>0.42499999999999999</v>
      </c>
      <c r="E267" s="59">
        <v>1</v>
      </c>
      <c r="F267" s="55">
        <v>12</v>
      </c>
      <c r="G267" s="60">
        <f>F267/12</f>
        <v>1</v>
      </c>
      <c r="H267" s="57">
        <f>ROUND(C267*(1+D267)*E267*G267,0)</f>
        <v>99811</v>
      </c>
      <c r="I267" s="134" t="s">
        <v>15</v>
      </c>
      <c r="J267" s="132"/>
      <c r="K267" s="97"/>
    </row>
    <row r="268" spans="1:11" x14ac:dyDescent="0.2">
      <c r="A268" s="47" t="s">
        <v>19</v>
      </c>
      <c r="B268" s="58" t="s">
        <v>19</v>
      </c>
      <c r="C268" s="52">
        <v>74245</v>
      </c>
      <c r="D268" s="53">
        <v>0.42499999999999999</v>
      </c>
      <c r="E268" s="59">
        <v>1</v>
      </c>
      <c r="F268" s="55">
        <v>12</v>
      </c>
      <c r="G268" s="60">
        <f>F268/12</f>
        <v>1</v>
      </c>
      <c r="H268" s="57">
        <f>ROUND(C268*(1+D268)*E268*G268,0)</f>
        <v>105799</v>
      </c>
      <c r="I268" s="134" t="s">
        <v>15</v>
      </c>
      <c r="J268" s="132"/>
      <c r="K268" s="97"/>
    </row>
    <row r="269" spans="1:11" x14ac:dyDescent="0.2">
      <c r="A269" s="47" t="s">
        <v>20</v>
      </c>
      <c r="B269" s="58" t="s">
        <v>20</v>
      </c>
      <c r="C269" s="52">
        <v>78700</v>
      </c>
      <c r="D269" s="53">
        <v>0.42499999999999999</v>
      </c>
      <c r="E269" s="59">
        <v>1</v>
      </c>
      <c r="F269" s="55">
        <v>12</v>
      </c>
      <c r="G269" s="60">
        <f>F269/12</f>
        <v>1</v>
      </c>
      <c r="H269" s="57">
        <f>ROUND(C269*(1+D269)*E269*G269,0)</f>
        <v>112148</v>
      </c>
      <c r="I269" s="134" t="s">
        <v>15</v>
      </c>
      <c r="J269" s="132"/>
      <c r="K269" s="97"/>
    </row>
    <row r="270" spans="1:11" x14ac:dyDescent="0.2">
      <c r="A270" s="47"/>
      <c r="B270" s="1027" t="s">
        <v>95</v>
      </c>
      <c r="C270" s="1027"/>
      <c r="D270" s="1027"/>
      <c r="E270" s="1027"/>
      <c r="F270" s="1027"/>
      <c r="G270" s="1027"/>
      <c r="H270" s="1027"/>
      <c r="I270" s="1027"/>
      <c r="J270" s="1027"/>
      <c r="K270" s="98"/>
    </row>
    <row r="271" spans="1:11" ht="33.75" x14ac:dyDescent="0.2">
      <c r="A271" s="47" t="s">
        <v>13</v>
      </c>
      <c r="B271" s="58" t="s">
        <v>96</v>
      </c>
      <c r="C271" s="52">
        <v>62338</v>
      </c>
      <c r="D271" s="53">
        <v>0.42499999999999999</v>
      </c>
      <c r="E271" s="59">
        <v>1</v>
      </c>
      <c r="F271" s="55">
        <v>9</v>
      </c>
      <c r="G271" s="60">
        <f>F271/12</f>
        <v>0.75</v>
      </c>
      <c r="H271" s="64">
        <f>ROUND(C271*(1+D271)*E271*G271,0)</f>
        <v>66624</v>
      </c>
      <c r="I271" s="134" t="s">
        <v>15</v>
      </c>
      <c r="J271" s="132" t="s">
        <v>23</v>
      </c>
      <c r="K271" s="97"/>
    </row>
    <row r="272" spans="1:11" x14ac:dyDescent="0.2">
      <c r="A272" s="47" t="s">
        <v>17</v>
      </c>
      <c r="B272" s="58" t="s">
        <v>17</v>
      </c>
      <c r="C272" s="52">
        <v>66078</v>
      </c>
      <c r="D272" s="53">
        <v>0.42499999999999999</v>
      </c>
      <c r="E272" s="59">
        <v>1</v>
      </c>
      <c r="F272" s="55">
        <v>12</v>
      </c>
      <c r="G272" s="65">
        <f>F272/12</f>
        <v>1</v>
      </c>
      <c r="H272" s="57">
        <f>ROUND(C272*(1+D272)*E272*G272,0)</f>
        <v>94161</v>
      </c>
      <c r="I272" s="134" t="s">
        <v>15</v>
      </c>
      <c r="J272" s="132"/>
      <c r="K272" s="97"/>
    </row>
    <row r="273" spans="1:11" x14ac:dyDescent="0.2">
      <c r="A273" s="47" t="s">
        <v>18</v>
      </c>
      <c r="B273" s="58" t="s">
        <v>18</v>
      </c>
      <c r="C273" s="52">
        <v>70043</v>
      </c>
      <c r="D273" s="53">
        <v>0.42499999999999999</v>
      </c>
      <c r="E273" s="59">
        <v>1</v>
      </c>
      <c r="F273" s="55">
        <v>12</v>
      </c>
      <c r="G273" s="60">
        <f>F273/12</f>
        <v>1</v>
      </c>
      <c r="H273" s="57">
        <f>ROUND(C273*(1+D273)*E273*G273,0)</f>
        <v>99811</v>
      </c>
      <c r="I273" s="134" t="s">
        <v>15</v>
      </c>
      <c r="J273" s="132"/>
      <c r="K273" s="97"/>
    </row>
    <row r="274" spans="1:11" x14ac:dyDescent="0.2">
      <c r="A274" s="47" t="s">
        <v>19</v>
      </c>
      <c r="B274" s="58" t="s">
        <v>19</v>
      </c>
      <c r="C274" s="52">
        <v>74245</v>
      </c>
      <c r="D274" s="53">
        <v>0.42499999999999999</v>
      </c>
      <c r="E274" s="59">
        <v>1</v>
      </c>
      <c r="F274" s="55">
        <v>12</v>
      </c>
      <c r="G274" s="60">
        <f>F274/12</f>
        <v>1</v>
      </c>
      <c r="H274" s="57">
        <f>ROUND(C274*(1+D274)*E274*G274,0)</f>
        <v>105799</v>
      </c>
      <c r="I274" s="134" t="s">
        <v>15</v>
      </c>
      <c r="J274" s="132"/>
      <c r="K274" s="97"/>
    </row>
    <row r="275" spans="1:11" x14ac:dyDescent="0.2">
      <c r="A275" s="47" t="s">
        <v>20</v>
      </c>
      <c r="B275" s="58" t="s">
        <v>20</v>
      </c>
      <c r="C275" s="52">
        <v>78700</v>
      </c>
      <c r="D275" s="53">
        <v>0.42499999999999999</v>
      </c>
      <c r="E275" s="59">
        <v>1</v>
      </c>
      <c r="F275" s="55">
        <v>12</v>
      </c>
      <c r="G275" s="60">
        <f>F275/12</f>
        <v>1</v>
      </c>
      <c r="H275" s="57">
        <f>ROUND(C275*(1+D275)*E275*G275,0)</f>
        <v>112148</v>
      </c>
      <c r="I275" s="134" t="s">
        <v>15</v>
      </c>
      <c r="J275" s="132"/>
      <c r="K275" s="97"/>
    </row>
    <row r="276" spans="1:11" x14ac:dyDescent="0.2">
      <c r="A276" s="47"/>
      <c r="B276" s="1027" t="s">
        <v>95</v>
      </c>
      <c r="C276" s="1027"/>
      <c r="D276" s="1027"/>
      <c r="E276" s="1027"/>
      <c r="F276" s="1027"/>
      <c r="G276" s="1027"/>
      <c r="H276" s="1027"/>
      <c r="I276" s="1027"/>
      <c r="J276" s="1027"/>
      <c r="K276" s="98"/>
    </row>
    <row r="277" spans="1:11" ht="24.75" customHeight="1" x14ac:dyDescent="0.2">
      <c r="A277" s="47" t="s">
        <v>13</v>
      </c>
      <c r="B277" s="146" t="s">
        <v>97</v>
      </c>
      <c r="C277" s="52">
        <v>69014</v>
      </c>
      <c r="D277" s="53">
        <v>0.42499999999999999</v>
      </c>
      <c r="E277" s="59">
        <v>1</v>
      </c>
      <c r="F277" s="55">
        <v>9</v>
      </c>
      <c r="G277" s="60">
        <f>F277/12</f>
        <v>0.75</v>
      </c>
      <c r="H277" s="64">
        <f>ROUND(C277*(1+D277)*E277*G277,0)</f>
        <v>73759</v>
      </c>
      <c r="I277" s="134" t="s">
        <v>15</v>
      </c>
      <c r="J277" s="132" t="s">
        <v>73</v>
      </c>
      <c r="K277" s="97"/>
    </row>
    <row r="278" spans="1:11" x14ac:dyDescent="0.2">
      <c r="A278" s="47" t="s">
        <v>17</v>
      </c>
      <c r="B278" s="58" t="s">
        <v>17</v>
      </c>
      <c r="C278" s="52">
        <v>73155</v>
      </c>
      <c r="D278" s="53">
        <v>0.42499999999999999</v>
      </c>
      <c r="E278" s="59">
        <v>1</v>
      </c>
      <c r="F278" s="55">
        <v>12</v>
      </c>
      <c r="G278" s="60">
        <f>F278/12</f>
        <v>1</v>
      </c>
      <c r="H278" s="57">
        <f>ROUND(C278*(1+D278)*E278*G278,0)</f>
        <v>104246</v>
      </c>
      <c r="I278" s="134" t="s">
        <v>15</v>
      </c>
      <c r="J278" s="132"/>
      <c r="K278" s="97"/>
    </row>
    <row r="279" spans="1:11" x14ac:dyDescent="0.2">
      <c r="A279" s="47" t="s">
        <v>18</v>
      </c>
      <c r="B279" s="58" t="s">
        <v>18</v>
      </c>
      <c r="C279" s="52">
        <v>77545</v>
      </c>
      <c r="D279" s="53">
        <v>0.42499999999999999</v>
      </c>
      <c r="E279" s="59">
        <v>1</v>
      </c>
      <c r="F279" s="55">
        <v>12</v>
      </c>
      <c r="G279" s="60">
        <f>F279/12</f>
        <v>1</v>
      </c>
      <c r="H279" s="57">
        <f>ROUND(C279*(1+D279)*E279*G279,0)</f>
        <v>110502</v>
      </c>
      <c r="I279" s="134" t="s">
        <v>15</v>
      </c>
      <c r="J279" s="132"/>
      <c r="K279" s="97"/>
    </row>
    <row r="280" spans="1:11" x14ac:dyDescent="0.2">
      <c r="A280" s="47" t="s">
        <v>19</v>
      </c>
      <c r="B280" s="58" t="s">
        <v>19</v>
      </c>
      <c r="C280" s="52">
        <v>82197</v>
      </c>
      <c r="D280" s="53">
        <v>0.42499999999999999</v>
      </c>
      <c r="E280" s="59">
        <v>1</v>
      </c>
      <c r="F280" s="55">
        <v>12</v>
      </c>
      <c r="G280" s="60">
        <f>F280/12</f>
        <v>1</v>
      </c>
      <c r="H280" s="57">
        <f>ROUND(C280*(1+D280)*E280*G280,0)</f>
        <v>117131</v>
      </c>
      <c r="I280" s="134" t="s">
        <v>15</v>
      </c>
      <c r="J280" s="132"/>
      <c r="K280" s="97"/>
    </row>
    <row r="281" spans="1:11" x14ac:dyDescent="0.2">
      <c r="A281" s="47" t="s">
        <v>20</v>
      </c>
      <c r="B281" s="58" t="s">
        <v>20</v>
      </c>
      <c r="C281" s="52">
        <v>87129</v>
      </c>
      <c r="D281" s="53">
        <v>0.42499999999999999</v>
      </c>
      <c r="E281" s="59">
        <v>1</v>
      </c>
      <c r="F281" s="55">
        <v>12</v>
      </c>
      <c r="G281" s="60">
        <f>F281/12</f>
        <v>1</v>
      </c>
      <c r="H281" s="57">
        <f>ROUND(C281*(1+D281)*E281*G281,0)</f>
        <v>124159</v>
      </c>
      <c r="I281" s="134" t="s">
        <v>15</v>
      </c>
      <c r="J281" s="132"/>
      <c r="K281" s="97"/>
    </row>
    <row r="282" spans="1:11" x14ac:dyDescent="0.2">
      <c r="A282" s="47"/>
      <c r="B282" s="1018" t="s">
        <v>98</v>
      </c>
      <c r="C282" s="1018"/>
      <c r="D282" s="1018"/>
      <c r="E282" s="1018"/>
      <c r="F282" s="1018"/>
      <c r="G282" s="1018"/>
      <c r="H282" s="1018"/>
      <c r="I282" s="1018"/>
      <c r="J282" s="1018"/>
      <c r="K282" s="98"/>
    </row>
    <row r="283" spans="1:11" ht="22.5" x14ac:dyDescent="0.2">
      <c r="A283" s="47" t="s">
        <v>13</v>
      </c>
      <c r="B283" s="146" t="s">
        <v>99</v>
      </c>
      <c r="C283" s="52">
        <v>62338</v>
      </c>
      <c r="D283" s="53">
        <v>0.42499999999999999</v>
      </c>
      <c r="E283" s="59">
        <v>1</v>
      </c>
      <c r="F283" s="55">
        <v>9</v>
      </c>
      <c r="G283" s="60">
        <f>F283/12</f>
        <v>0.75</v>
      </c>
      <c r="H283" s="64">
        <f>ROUND(C283*(1+D283)*E283*G283,0)</f>
        <v>66624</v>
      </c>
      <c r="I283" s="134" t="s">
        <v>15</v>
      </c>
      <c r="J283" s="132" t="s">
        <v>23</v>
      </c>
      <c r="K283" s="97"/>
    </row>
    <row r="284" spans="1:11" x14ac:dyDescent="0.2">
      <c r="A284" s="47" t="s">
        <v>17</v>
      </c>
      <c r="B284" s="58" t="s">
        <v>17</v>
      </c>
      <c r="C284" s="52">
        <v>66078</v>
      </c>
      <c r="D284" s="53">
        <v>0.42499999999999999</v>
      </c>
      <c r="E284" s="59">
        <v>1</v>
      </c>
      <c r="F284" s="55">
        <v>12</v>
      </c>
      <c r="G284" s="60">
        <f>F284/12</f>
        <v>1</v>
      </c>
      <c r="H284" s="57">
        <f>ROUND(C284*(1+D284)*E284*G284,0)</f>
        <v>94161</v>
      </c>
      <c r="I284" s="134" t="s">
        <v>15</v>
      </c>
      <c r="J284" s="132"/>
      <c r="K284" s="97"/>
    </row>
    <row r="285" spans="1:11" x14ac:dyDescent="0.2">
      <c r="A285" s="47" t="s">
        <v>18</v>
      </c>
      <c r="B285" s="58" t="s">
        <v>18</v>
      </c>
      <c r="C285" s="52">
        <v>70043</v>
      </c>
      <c r="D285" s="53">
        <v>0.42499999999999999</v>
      </c>
      <c r="E285" s="59">
        <v>1</v>
      </c>
      <c r="F285" s="55">
        <v>12</v>
      </c>
      <c r="G285" s="60">
        <f>F285/12</f>
        <v>1</v>
      </c>
      <c r="H285" s="57">
        <f>ROUND(C285*(1+D285)*E285*G285,0)</f>
        <v>99811</v>
      </c>
      <c r="I285" s="134" t="s">
        <v>15</v>
      </c>
      <c r="J285" s="132"/>
      <c r="K285" s="97"/>
    </row>
    <row r="286" spans="1:11" x14ac:dyDescent="0.2">
      <c r="A286" s="47" t="s">
        <v>19</v>
      </c>
      <c r="B286" s="58" t="s">
        <v>19</v>
      </c>
      <c r="C286" s="52">
        <v>74245</v>
      </c>
      <c r="D286" s="53">
        <v>0.42499999999999999</v>
      </c>
      <c r="E286" s="59">
        <v>1</v>
      </c>
      <c r="F286" s="55">
        <v>12</v>
      </c>
      <c r="G286" s="60">
        <f>F286/12</f>
        <v>1</v>
      </c>
      <c r="H286" s="57">
        <f>ROUND(C286*(1+D286)*E286*G286,0)</f>
        <v>105799</v>
      </c>
      <c r="I286" s="134" t="s">
        <v>15</v>
      </c>
      <c r="J286" s="132"/>
      <c r="K286" s="97"/>
    </row>
    <row r="287" spans="1:11" x14ac:dyDescent="0.2">
      <c r="A287" s="47" t="s">
        <v>20</v>
      </c>
      <c r="B287" s="58" t="s">
        <v>20</v>
      </c>
      <c r="C287" s="52">
        <v>78700</v>
      </c>
      <c r="D287" s="53">
        <v>0.42499999999999999</v>
      </c>
      <c r="E287" s="59">
        <v>1</v>
      </c>
      <c r="F287" s="55">
        <v>12</v>
      </c>
      <c r="G287" s="60">
        <f>F287/12</f>
        <v>1</v>
      </c>
      <c r="H287" s="57">
        <f>ROUND(C287*(1+D287)*E287*G287,0)</f>
        <v>112148</v>
      </c>
      <c r="I287" s="134" t="s">
        <v>15</v>
      </c>
      <c r="J287" s="132"/>
      <c r="K287" s="97"/>
    </row>
    <row r="288" spans="1:11" x14ac:dyDescent="0.2">
      <c r="A288" s="47"/>
      <c r="B288" s="1018" t="s">
        <v>100</v>
      </c>
      <c r="C288" s="1018"/>
      <c r="D288" s="1018"/>
      <c r="E288" s="1018"/>
      <c r="F288" s="1018"/>
      <c r="G288" s="1018"/>
      <c r="H288" s="1018"/>
      <c r="I288" s="1018"/>
      <c r="J288" s="1018"/>
      <c r="K288" s="98"/>
    </row>
    <row r="289" spans="1:11" ht="22.5" x14ac:dyDescent="0.2">
      <c r="A289" s="47" t="s">
        <v>13</v>
      </c>
      <c r="B289" s="146" t="s">
        <v>101</v>
      </c>
      <c r="C289" s="52">
        <v>62338</v>
      </c>
      <c r="D289" s="53">
        <v>0.42499999999999999</v>
      </c>
      <c r="E289" s="59">
        <v>1</v>
      </c>
      <c r="F289" s="55">
        <v>9</v>
      </c>
      <c r="G289" s="60">
        <f>F289/12</f>
        <v>0.75</v>
      </c>
      <c r="H289" s="64">
        <f>ROUND(C289*(1+D289)*E289*G289,0)</f>
        <v>66624</v>
      </c>
      <c r="I289" s="134" t="s">
        <v>15</v>
      </c>
      <c r="J289" s="132" t="s">
        <v>23</v>
      </c>
      <c r="K289" s="97"/>
    </row>
    <row r="290" spans="1:11" x14ac:dyDescent="0.2">
      <c r="A290" s="47" t="s">
        <v>17</v>
      </c>
      <c r="B290" s="58" t="s">
        <v>17</v>
      </c>
      <c r="C290" s="52">
        <v>66078</v>
      </c>
      <c r="D290" s="53">
        <v>0.42499999999999999</v>
      </c>
      <c r="E290" s="59">
        <v>1</v>
      </c>
      <c r="F290" s="55">
        <v>12</v>
      </c>
      <c r="G290" s="60">
        <f>F290/12</f>
        <v>1</v>
      </c>
      <c r="H290" s="57">
        <f>ROUND(C290*(1+D290)*E290*G290,0)</f>
        <v>94161</v>
      </c>
      <c r="I290" s="134" t="s">
        <v>15</v>
      </c>
      <c r="J290" s="132"/>
      <c r="K290" s="97"/>
    </row>
    <row r="291" spans="1:11" x14ac:dyDescent="0.2">
      <c r="A291" s="47" t="s">
        <v>18</v>
      </c>
      <c r="B291" s="58" t="s">
        <v>18</v>
      </c>
      <c r="C291" s="52">
        <v>70043</v>
      </c>
      <c r="D291" s="53">
        <v>0.42499999999999999</v>
      </c>
      <c r="E291" s="59">
        <v>1</v>
      </c>
      <c r="F291" s="55">
        <v>0</v>
      </c>
      <c r="G291" s="60">
        <f>F291/12</f>
        <v>0</v>
      </c>
      <c r="H291" s="57">
        <f>ROUND(C291*(1+D291)*E291*G291,0)</f>
        <v>0</v>
      </c>
      <c r="I291" s="134" t="s">
        <v>15</v>
      </c>
      <c r="J291" s="132"/>
      <c r="K291" s="97"/>
    </row>
    <row r="292" spans="1:11" x14ac:dyDescent="0.2">
      <c r="A292" s="47" t="s">
        <v>19</v>
      </c>
      <c r="B292" s="58" t="s">
        <v>19</v>
      </c>
      <c r="C292" s="52">
        <v>74245</v>
      </c>
      <c r="D292" s="53">
        <v>0.42499999999999999</v>
      </c>
      <c r="E292" s="59">
        <v>1</v>
      </c>
      <c r="F292" s="55">
        <v>0</v>
      </c>
      <c r="G292" s="60">
        <f>F292/12</f>
        <v>0</v>
      </c>
      <c r="H292" s="57">
        <f>ROUND(C292*(1+D292)*E292*G292,0)</f>
        <v>0</v>
      </c>
      <c r="I292" s="134" t="s">
        <v>15</v>
      </c>
      <c r="J292" s="132"/>
      <c r="K292" s="97"/>
    </row>
    <row r="293" spans="1:11" x14ac:dyDescent="0.2">
      <c r="A293" s="47" t="s">
        <v>20</v>
      </c>
      <c r="B293" s="58" t="s">
        <v>20</v>
      </c>
      <c r="C293" s="52">
        <v>78700</v>
      </c>
      <c r="D293" s="53">
        <v>0.42499999999999999</v>
      </c>
      <c r="E293" s="59">
        <v>1</v>
      </c>
      <c r="F293" s="55">
        <v>0</v>
      </c>
      <c r="G293" s="60">
        <f>F293/12</f>
        <v>0</v>
      </c>
      <c r="H293" s="57">
        <f>ROUND(C293*(1+D293)*E293*G293,0)</f>
        <v>0</v>
      </c>
      <c r="I293" s="134" t="s">
        <v>15</v>
      </c>
      <c r="J293" s="132"/>
      <c r="K293" s="97"/>
    </row>
    <row r="294" spans="1:11" x14ac:dyDescent="0.2">
      <c r="A294" s="47"/>
      <c r="B294" s="1027" t="s">
        <v>95</v>
      </c>
      <c r="C294" s="1027"/>
      <c r="D294" s="1027"/>
      <c r="E294" s="1027"/>
      <c r="F294" s="1027"/>
      <c r="G294" s="1027"/>
      <c r="H294" s="1027"/>
      <c r="I294" s="1027"/>
      <c r="J294" s="1027"/>
      <c r="K294" s="98"/>
    </row>
    <row r="295" spans="1:11" ht="22.5" x14ac:dyDescent="0.2">
      <c r="A295" s="47" t="s">
        <v>13</v>
      </c>
      <c r="B295" s="147" t="s">
        <v>102</v>
      </c>
      <c r="C295" s="66">
        <v>62338</v>
      </c>
      <c r="D295" s="67">
        <v>0.42499999999999999</v>
      </c>
      <c r="E295" s="68">
        <v>1</v>
      </c>
      <c r="F295" s="148">
        <v>5</v>
      </c>
      <c r="G295" s="69">
        <f>F295/12</f>
        <v>0.41666666666666669</v>
      </c>
      <c r="H295" s="149">
        <f>ROUND(C295*(1+D295)*E295*G295,0)</f>
        <v>37013</v>
      </c>
      <c r="I295" s="150" t="s">
        <v>15</v>
      </c>
      <c r="J295" s="151" t="s">
        <v>16</v>
      </c>
      <c r="K295" s="97"/>
    </row>
    <row r="296" spans="1:11" x14ac:dyDescent="0.2">
      <c r="A296" s="47" t="s">
        <v>17</v>
      </c>
      <c r="B296" s="152" t="s">
        <v>17</v>
      </c>
      <c r="C296" s="66">
        <v>66078</v>
      </c>
      <c r="D296" s="67">
        <v>0.42499999999999999</v>
      </c>
      <c r="E296" s="68">
        <v>1</v>
      </c>
      <c r="F296" s="148">
        <v>6</v>
      </c>
      <c r="G296" s="69">
        <f>F296/12</f>
        <v>0.5</v>
      </c>
      <c r="H296" s="153">
        <f>ROUND(C296*(1+D296)*E296*G296,0)</f>
        <v>47081</v>
      </c>
      <c r="I296" s="154" t="s">
        <v>15</v>
      </c>
      <c r="J296" s="151"/>
      <c r="K296" s="97"/>
    </row>
    <row r="297" spans="1:11" x14ac:dyDescent="0.2">
      <c r="A297" s="47" t="s">
        <v>18</v>
      </c>
      <c r="B297" s="155" t="s">
        <v>18</v>
      </c>
      <c r="C297" s="52">
        <v>0</v>
      </c>
      <c r="D297" s="53">
        <v>0.42499999999999999</v>
      </c>
      <c r="E297" s="59">
        <v>1</v>
      </c>
      <c r="F297" s="55">
        <v>0</v>
      </c>
      <c r="G297" s="60">
        <f>F297/12</f>
        <v>0</v>
      </c>
      <c r="H297" s="57">
        <f>ROUND(C297*(1+D297)*E297*G297,0)</f>
        <v>0</v>
      </c>
      <c r="I297" s="156" t="s">
        <v>15</v>
      </c>
      <c r="J297" s="132"/>
      <c r="K297" s="97"/>
    </row>
    <row r="298" spans="1:11" x14ac:dyDescent="0.2">
      <c r="A298" s="47" t="s">
        <v>19</v>
      </c>
      <c r="B298" s="155" t="s">
        <v>19</v>
      </c>
      <c r="C298" s="52">
        <v>0</v>
      </c>
      <c r="D298" s="53">
        <v>0.42499999999999999</v>
      </c>
      <c r="E298" s="59">
        <v>1</v>
      </c>
      <c r="F298" s="55">
        <v>0</v>
      </c>
      <c r="G298" s="60">
        <f>F298/12</f>
        <v>0</v>
      </c>
      <c r="H298" s="57">
        <f>ROUND(C298*(1+D298)*E298*G298,0)</f>
        <v>0</v>
      </c>
      <c r="I298" s="156" t="s">
        <v>15</v>
      </c>
      <c r="J298" s="132"/>
      <c r="K298" s="97"/>
    </row>
    <row r="299" spans="1:11" x14ac:dyDescent="0.2">
      <c r="A299" s="47" t="s">
        <v>20</v>
      </c>
      <c r="B299" s="155" t="s">
        <v>20</v>
      </c>
      <c r="C299" s="52">
        <v>0</v>
      </c>
      <c r="D299" s="53">
        <v>0.42499999999999999</v>
      </c>
      <c r="E299" s="59">
        <v>1</v>
      </c>
      <c r="F299" s="55">
        <v>0</v>
      </c>
      <c r="G299" s="60">
        <f>F299/12</f>
        <v>0</v>
      </c>
      <c r="H299" s="57">
        <f>ROUND(C299*(1+D299)*E299*G299,0)</f>
        <v>0</v>
      </c>
      <c r="I299" s="156" t="s">
        <v>15</v>
      </c>
      <c r="J299" s="132"/>
      <c r="K299" s="97"/>
    </row>
    <row r="300" spans="1:11" x14ac:dyDescent="0.2">
      <c r="A300" s="47"/>
      <c r="B300" s="1027" t="s">
        <v>103</v>
      </c>
      <c r="C300" s="1027"/>
      <c r="D300" s="1027"/>
      <c r="E300" s="1027"/>
      <c r="F300" s="1027"/>
      <c r="G300" s="1027"/>
      <c r="H300" s="1027"/>
      <c r="I300" s="1027"/>
      <c r="J300" s="1027"/>
      <c r="K300" s="98"/>
    </row>
    <row r="301" spans="1:11" ht="22.5" x14ac:dyDescent="0.2">
      <c r="A301" s="47" t="s">
        <v>13</v>
      </c>
      <c r="B301" s="146" t="s">
        <v>104</v>
      </c>
      <c r="C301" s="52">
        <v>109387</v>
      </c>
      <c r="D301" s="53">
        <v>0.42499999999999999</v>
      </c>
      <c r="E301" s="59">
        <v>1</v>
      </c>
      <c r="F301" s="55">
        <v>5</v>
      </c>
      <c r="G301" s="60">
        <f>F301/12</f>
        <v>0.41666666666666669</v>
      </c>
      <c r="H301" s="64">
        <f>ROUND(C301*(1+D301)*E301*G301,0)</f>
        <v>64949</v>
      </c>
      <c r="I301" s="134" t="s">
        <v>15</v>
      </c>
      <c r="J301" s="132" t="s">
        <v>16</v>
      </c>
      <c r="K301" s="97"/>
    </row>
    <row r="302" spans="1:11" x14ac:dyDescent="0.2">
      <c r="A302" s="47" t="s">
        <v>17</v>
      </c>
      <c r="B302" s="58" t="s">
        <v>17</v>
      </c>
      <c r="C302" s="52">
        <v>115950</v>
      </c>
      <c r="D302" s="53">
        <v>0.42499999999999999</v>
      </c>
      <c r="E302" s="59">
        <v>1</v>
      </c>
      <c r="F302" s="55">
        <v>7</v>
      </c>
      <c r="G302" s="60">
        <f>F302/12</f>
        <v>0.58333333333333337</v>
      </c>
      <c r="H302" s="57">
        <f>ROUND(C302*(1+D302)*E302*G302,0)</f>
        <v>96383</v>
      </c>
      <c r="I302" s="134" t="s">
        <v>15</v>
      </c>
      <c r="J302" s="132"/>
      <c r="K302" s="97"/>
    </row>
    <row r="303" spans="1:11" x14ac:dyDescent="0.2">
      <c r="A303" s="47" t="s">
        <v>18</v>
      </c>
      <c r="B303" s="58" t="s">
        <v>18</v>
      </c>
      <c r="C303" s="52">
        <v>0</v>
      </c>
      <c r="D303" s="53">
        <v>0.42499999999999999</v>
      </c>
      <c r="E303" s="59">
        <v>1</v>
      </c>
      <c r="F303" s="55">
        <v>12</v>
      </c>
      <c r="G303" s="60">
        <f>F303/12</f>
        <v>1</v>
      </c>
      <c r="H303" s="57">
        <f>ROUND(C303*(1+D303)*E303*G303,0)</f>
        <v>0</v>
      </c>
      <c r="I303" s="134" t="s">
        <v>15</v>
      </c>
      <c r="J303" s="132"/>
      <c r="K303" s="97"/>
    </row>
    <row r="304" spans="1:11" x14ac:dyDescent="0.2">
      <c r="A304" s="47" t="s">
        <v>19</v>
      </c>
      <c r="B304" s="58" t="s">
        <v>19</v>
      </c>
      <c r="C304" s="52">
        <v>0</v>
      </c>
      <c r="D304" s="53">
        <v>0.42499999999999999</v>
      </c>
      <c r="E304" s="59">
        <v>1</v>
      </c>
      <c r="F304" s="55">
        <v>12</v>
      </c>
      <c r="G304" s="60">
        <f>F304/12</f>
        <v>1</v>
      </c>
      <c r="H304" s="57">
        <f>ROUND(C304*(1+D304)*E304*G304,0)</f>
        <v>0</v>
      </c>
      <c r="I304" s="134" t="s">
        <v>15</v>
      </c>
      <c r="J304" s="132"/>
      <c r="K304" s="97"/>
    </row>
    <row r="305" spans="1:11" x14ac:dyDescent="0.2">
      <c r="A305" s="47" t="s">
        <v>20</v>
      </c>
      <c r="B305" s="58" t="s">
        <v>20</v>
      </c>
      <c r="C305" s="52">
        <v>0</v>
      </c>
      <c r="D305" s="53">
        <v>0.42499999999999999</v>
      </c>
      <c r="E305" s="59">
        <v>1</v>
      </c>
      <c r="F305" s="55">
        <v>12</v>
      </c>
      <c r="G305" s="60">
        <f>F305/12</f>
        <v>1</v>
      </c>
      <c r="H305" s="57">
        <f>ROUND(C305*(1+D305)*E305*G305,0)</f>
        <v>0</v>
      </c>
      <c r="I305" s="134" t="s">
        <v>15</v>
      </c>
      <c r="J305" s="132"/>
      <c r="K305" s="97"/>
    </row>
    <row r="306" spans="1:11" x14ac:dyDescent="0.2">
      <c r="A306" s="47"/>
      <c r="B306" s="1018" t="s">
        <v>100</v>
      </c>
      <c r="C306" s="1018"/>
      <c r="D306" s="1018"/>
      <c r="E306" s="1018"/>
      <c r="F306" s="1018"/>
      <c r="G306" s="1018"/>
      <c r="H306" s="1018"/>
      <c r="I306" s="1018"/>
      <c r="J306" s="1018"/>
      <c r="K306" s="98"/>
    </row>
    <row r="307" spans="1:11" ht="22.5" x14ac:dyDescent="0.2">
      <c r="A307" s="47" t="s">
        <v>13</v>
      </c>
      <c r="B307" s="146" t="s">
        <v>105</v>
      </c>
      <c r="C307" s="52">
        <v>69014</v>
      </c>
      <c r="D307" s="53">
        <v>0.42499999999999999</v>
      </c>
      <c r="E307" s="59">
        <v>1</v>
      </c>
      <c r="F307" s="55">
        <v>5</v>
      </c>
      <c r="G307" s="60">
        <f>F307/12</f>
        <v>0.41666666666666669</v>
      </c>
      <c r="H307" s="64">
        <f>ROUND(C307*(1+D307)*E307*G307,0)</f>
        <v>40977</v>
      </c>
      <c r="I307" s="134" t="s">
        <v>15</v>
      </c>
      <c r="J307" s="132" t="s">
        <v>23</v>
      </c>
      <c r="K307" s="97"/>
    </row>
    <row r="308" spans="1:11" x14ac:dyDescent="0.2">
      <c r="A308" s="47" t="s">
        <v>17</v>
      </c>
      <c r="B308" s="58" t="s">
        <v>17</v>
      </c>
      <c r="C308" s="52">
        <v>73155</v>
      </c>
      <c r="D308" s="53">
        <v>0.42499999999999999</v>
      </c>
      <c r="E308" s="59">
        <v>1</v>
      </c>
      <c r="F308" s="55">
        <v>12</v>
      </c>
      <c r="G308" s="60">
        <f>F308/12</f>
        <v>1</v>
      </c>
      <c r="H308" s="57">
        <f>ROUND(C308*(1+D308)*E308*G308,0)</f>
        <v>104246</v>
      </c>
      <c r="I308" s="134" t="s">
        <v>15</v>
      </c>
      <c r="J308" s="132"/>
      <c r="K308" s="97"/>
    </row>
    <row r="309" spans="1:11" x14ac:dyDescent="0.2">
      <c r="A309" s="47" t="s">
        <v>18</v>
      </c>
      <c r="B309" s="58" t="s">
        <v>18</v>
      </c>
      <c r="C309" s="52">
        <v>0</v>
      </c>
      <c r="D309" s="53">
        <v>0.42499999999999999</v>
      </c>
      <c r="E309" s="59">
        <v>0</v>
      </c>
      <c r="F309" s="55">
        <v>12</v>
      </c>
      <c r="G309" s="60">
        <f>F309/12</f>
        <v>1</v>
      </c>
      <c r="H309" s="57">
        <f>ROUND(C309*(1+D309)*E309*G309,0)</f>
        <v>0</v>
      </c>
      <c r="I309" s="134" t="s">
        <v>15</v>
      </c>
      <c r="J309" s="132"/>
      <c r="K309" s="97"/>
    </row>
    <row r="310" spans="1:11" x14ac:dyDescent="0.2">
      <c r="A310" s="47" t="s">
        <v>19</v>
      </c>
      <c r="B310" s="58" t="s">
        <v>19</v>
      </c>
      <c r="C310" s="52">
        <v>0</v>
      </c>
      <c r="D310" s="53">
        <v>0.42499999999999999</v>
      </c>
      <c r="E310" s="59">
        <v>0</v>
      </c>
      <c r="F310" s="55">
        <v>12</v>
      </c>
      <c r="G310" s="60">
        <f>F310/12</f>
        <v>1</v>
      </c>
      <c r="H310" s="57">
        <f>ROUND(C310*(1+D310)*E310*G310,0)</f>
        <v>0</v>
      </c>
      <c r="I310" s="134" t="s">
        <v>15</v>
      </c>
      <c r="J310" s="132"/>
      <c r="K310" s="97"/>
    </row>
    <row r="311" spans="1:11" x14ac:dyDescent="0.2">
      <c r="A311" s="47" t="s">
        <v>20</v>
      </c>
      <c r="B311" s="58" t="s">
        <v>20</v>
      </c>
      <c r="C311" s="52">
        <v>0</v>
      </c>
      <c r="D311" s="53">
        <v>0.42499999999999999</v>
      </c>
      <c r="E311" s="59">
        <v>0</v>
      </c>
      <c r="F311" s="55">
        <v>12</v>
      </c>
      <c r="G311" s="60">
        <f>F311/12</f>
        <v>1</v>
      </c>
      <c r="H311" s="57">
        <f>ROUND(C311*(1+D311)*E311*G311,0)</f>
        <v>0</v>
      </c>
      <c r="I311" s="134" t="s">
        <v>15</v>
      </c>
      <c r="J311" s="132"/>
      <c r="K311" s="97"/>
    </row>
    <row r="312" spans="1:11" x14ac:dyDescent="0.2">
      <c r="A312" s="47"/>
      <c r="B312" s="1018" t="s">
        <v>100</v>
      </c>
      <c r="C312" s="1018"/>
      <c r="D312" s="1018"/>
      <c r="E312" s="1018"/>
      <c r="F312" s="1018"/>
      <c r="G312" s="1018"/>
      <c r="H312" s="1018"/>
      <c r="I312" s="1018"/>
      <c r="J312" s="1018"/>
      <c r="K312" s="98"/>
    </row>
    <row r="313" spans="1:11" x14ac:dyDescent="0.2">
      <c r="A313" s="47" t="s">
        <v>13</v>
      </c>
      <c r="B313" s="58" t="s">
        <v>106</v>
      </c>
      <c r="C313" s="52">
        <v>69014.399999999994</v>
      </c>
      <c r="D313" s="53">
        <v>0.42499999999999999</v>
      </c>
      <c r="E313" s="59">
        <v>1</v>
      </c>
      <c r="F313" s="55">
        <v>9</v>
      </c>
      <c r="G313" s="60">
        <f>F313/12</f>
        <v>0.75</v>
      </c>
      <c r="H313" s="64">
        <f>ROUND(C313*(1+D313)*E313*G313,0)</f>
        <v>73759</v>
      </c>
      <c r="I313" s="134" t="s">
        <v>15</v>
      </c>
      <c r="J313" s="132" t="s">
        <v>73</v>
      </c>
      <c r="K313" s="97"/>
    </row>
    <row r="314" spans="1:11" x14ac:dyDescent="0.2">
      <c r="A314" s="47" t="s">
        <v>17</v>
      </c>
      <c r="B314" s="58" t="s">
        <v>17</v>
      </c>
      <c r="C314" s="52">
        <v>73155</v>
      </c>
      <c r="D314" s="53">
        <v>0.42499999999999999</v>
      </c>
      <c r="E314" s="59">
        <v>1</v>
      </c>
      <c r="F314" s="55">
        <v>12</v>
      </c>
      <c r="G314" s="60">
        <f>F314/12</f>
        <v>1</v>
      </c>
      <c r="H314" s="57">
        <f>ROUND(C314*(1+D314)*E314*G314,0)</f>
        <v>104246</v>
      </c>
      <c r="I314" s="134" t="s">
        <v>15</v>
      </c>
      <c r="J314" s="132"/>
      <c r="K314" s="97"/>
    </row>
    <row r="315" spans="1:11" x14ac:dyDescent="0.2">
      <c r="A315" s="47" t="s">
        <v>18</v>
      </c>
      <c r="B315" s="58" t="s">
        <v>18</v>
      </c>
      <c r="C315" s="52">
        <v>77545</v>
      </c>
      <c r="D315" s="53">
        <v>0.42499999999999999</v>
      </c>
      <c r="E315" s="59">
        <v>1</v>
      </c>
      <c r="F315" s="55">
        <v>12</v>
      </c>
      <c r="G315" s="60">
        <f>F315/12</f>
        <v>1</v>
      </c>
      <c r="H315" s="57">
        <f>ROUND(C315*(1+D315)*E315*G315,0)</f>
        <v>110502</v>
      </c>
      <c r="I315" s="134" t="s">
        <v>15</v>
      </c>
      <c r="J315" s="132"/>
      <c r="K315" s="97"/>
    </row>
    <row r="316" spans="1:11" x14ac:dyDescent="0.2">
      <c r="A316" s="47" t="s">
        <v>19</v>
      </c>
      <c r="B316" s="58" t="s">
        <v>19</v>
      </c>
      <c r="C316" s="52">
        <v>82197</v>
      </c>
      <c r="D316" s="53">
        <v>0.42499999999999999</v>
      </c>
      <c r="E316" s="59">
        <v>1</v>
      </c>
      <c r="F316" s="55">
        <v>12</v>
      </c>
      <c r="G316" s="60">
        <f>F316/12</f>
        <v>1</v>
      </c>
      <c r="H316" s="57">
        <f>ROUND(C316*(1+D316)*E316*G316,0)</f>
        <v>117131</v>
      </c>
      <c r="I316" s="134" t="s">
        <v>15</v>
      </c>
      <c r="J316" s="132"/>
      <c r="K316" s="97"/>
    </row>
    <row r="317" spans="1:11" x14ac:dyDescent="0.2">
      <c r="A317" s="47" t="s">
        <v>20</v>
      </c>
      <c r="B317" s="58" t="s">
        <v>20</v>
      </c>
      <c r="C317" s="52">
        <v>87129</v>
      </c>
      <c r="D317" s="53">
        <v>0.42499999999999999</v>
      </c>
      <c r="E317" s="59">
        <v>1</v>
      </c>
      <c r="F317" s="55">
        <v>12</v>
      </c>
      <c r="G317" s="60">
        <f>F317/12</f>
        <v>1</v>
      </c>
      <c r="H317" s="57">
        <f>ROUND(C317*(1+D317)*E317*G317,0)</f>
        <v>124159</v>
      </c>
      <c r="I317" s="134" t="s">
        <v>15</v>
      </c>
      <c r="J317" s="132"/>
      <c r="K317" s="97"/>
    </row>
    <row r="318" spans="1:11" ht="79.5" customHeight="1" x14ac:dyDescent="0.2">
      <c r="A318" s="47"/>
      <c r="B318" s="1018" t="s">
        <v>107</v>
      </c>
      <c r="C318" s="1018"/>
      <c r="D318" s="1018"/>
      <c r="E318" s="1018"/>
      <c r="F318" s="1018"/>
      <c r="G318" s="1018"/>
      <c r="H318" s="1018"/>
      <c r="I318" s="1018"/>
      <c r="J318" s="1018"/>
      <c r="K318" s="98"/>
    </row>
    <row r="319" spans="1:11" x14ac:dyDescent="0.2">
      <c r="A319" s="47"/>
      <c r="B319" s="157"/>
      <c r="C319" s="91"/>
      <c r="D319" s="70"/>
      <c r="E319" s="71"/>
      <c r="F319" s="71"/>
      <c r="G319" s="71"/>
      <c r="H319" s="158"/>
      <c r="I319" s="159"/>
      <c r="J319" s="160"/>
      <c r="K319" s="76" t="s">
        <v>108</v>
      </c>
    </row>
    <row r="320" spans="1:11" x14ac:dyDescent="0.2">
      <c r="A320" s="47"/>
      <c r="B320" s="1028" t="s">
        <v>109</v>
      </c>
      <c r="C320" s="1028"/>
      <c r="D320" s="161">
        <f>SUMPRODUCT(C5:C319,D5:D319,E5:E319,G5:G319)</f>
        <v>6272243.5545416707</v>
      </c>
      <c r="E320" s="72"/>
      <c r="F320" s="1029" t="s">
        <v>110</v>
      </c>
      <c r="G320" s="1029"/>
      <c r="H320" s="161">
        <f>SUMPRODUCT(C5:C319,E5:E319,G5:G319)</f>
        <v>14758220.128333338</v>
      </c>
      <c r="I320" s="162"/>
      <c r="J320" s="163"/>
      <c r="K320" s="100"/>
    </row>
    <row r="321" spans="1:12" x14ac:dyDescent="0.2">
      <c r="A321" s="47"/>
      <c r="B321" s="1030" t="s">
        <v>111</v>
      </c>
      <c r="C321" s="1030"/>
      <c r="D321" s="73">
        <f>SUM(E5:E319)</f>
        <v>248.55</v>
      </c>
      <c r="E321" s="74"/>
      <c r="F321" s="164"/>
      <c r="G321" s="165"/>
      <c r="H321" s="166"/>
      <c r="I321" s="167"/>
      <c r="J321" s="168"/>
      <c r="K321" s="100"/>
    </row>
    <row r="322" spans="1:12" x14ac:dyDescent="0.2">
      <c r="A322" s="47"/>
      <c r="B322" s="930" t="s">
        <v>112</v>
      </c>
      <c r="C322" s="930"/>
      <c r="D322" s="930"/>
      <c r="E322" s="930"/>
      <c r="F322" s="930"/>
      <c r="G322" s="930"/>
      <c r="H322" s="930"/>
      <c r="I322" s="930"/>
      <c r="J322" s="169">
        <f>ROUND(SUM(H324,H335,H346,H357,H369,H381),0)</f>
        <v>44758</v>
      </c>
    </row>
    <row r="323" spans="1:12" x14ac:dyDescent="0.2">
      <c r="A323" s="47"/>
      <c r="B323" s="1031" t="s">
        <v>113</v>
      </c>
      <c r="C323" s="1031"/>
      <c r="D323" s="1031"/>
      <c r="E323" s="1031"/>
      <c r="F323" s="1031"/>
      <c r="G323" s="1031"/>
      <c r="H323" s="1031"/>
      <c r="I323" s="170"/>
      <c r="J323" s="171"/>
      <c r="K323" s="78"/>
    </row>
    <row r="324" spans="1:12" x14ac:dyDescent="0.2">
      <c r="A324" s="47"/>
      <c r="B324" s="172" t="s">
        <v>114</v>
      </c>
      <c r="C324" s="992"/>
      <c r="D324" s="992"/>
      <c r="E324" s="992"/>
      <c r="F324" s="992"/>
      <c r="G324" s="992"/>
      <c r="H324" s="173">
        <f>SUM(H325:H333)+2057+2119+2183+2249</f>
        <v>10235</v>
      </c>
      <c r="I324" s="174" t="s">
        <v>15</v>
      </c>
      <c r="J324" s="175"/>
      <c r="K324" s="78" t="s">
        <v>115</v>
      </c>
      <c r="L324" s="75" t="s">
        <v>116</v>
      </c>
    </row>
    <row r="325" spans="1:12" ht="21.75" x14ac:dyDescent="0.2">
      <c r="A325" s="47"/>
      <c r="B325" s="176" t="s">
        <v>117</v>
      </c>
      <c r="C325" s="177" t="s">
        <v>118</v>
      </c>
      <c r="D325" s="178" t="s">
        <v>119</v>
      </c>
      <c r="E325" s="178" t="s">
        <v>120</v>
      </c>
      <c r="F325" s="179" t="s">
        <v>121</v>
      </c>
      <c r="G325" s="180"/>
      <c r="H325" s="181"/>
      <c r="I325" s="182"/>
      <c r="J325" s="183"/>
      <c r="K325" s="100"/>
      <c r="L325" s="75" t="s">
        <v>116</v>
      </c>
    </row>
    <row r="326" spans="1:12" ht="22.5" x14ac:dyDescent="0.2">
      <c r="A326" s="47"/>
      <c r="B326" s="184" t="s">
        <v>122</v>
      </c>
      <c r="C326" s="185">
        <v>675</v>
      </c>
      <c r="D326" s="186">
        <v>1</v>
      </c>
      <c r="E326" s="187"/>
      <c r="F326" s="188">
        <v>1</v>
      </c>
      <c r="G326" s="47"/>
      <c r="H326" s="189">
        <f>ROUND(C326*D326*F326,0)</f>
        <v>675</v>
      </c>
      <c r="I326" s="190"/>
      <c r="J326" s="191" t="s">
        <v>123</v>
      </c>
      <c r="K326" s="108">
        <v>2057</v>
      </c>
      <c r="L326" s="75" t="s">
        <v>116</v>
      </c>
    </row>
    <row r="327" spans="1:12" ht="22.5" x14ac:dyDescent="0.2">
      <c r="A327" s="47"/>
      <c r="B327" s="184" t="s">
        <v>124</v>
      </c>
      <c r="C327" s="185">
        <v>60</v>
      </c>
      <c r="D327" s="186">
        <v>2</v>
      </c>
      <c r="E327" s="187"/>
      <c r="F327" s="186">
        <v>1</v>
      </c>
      <c r="G327" s="47"/>
      <c r="H327" s="189">
        <f>ROUND(C327*D327*F327,0)</f>
        <v>120</v>
      </c>
      <c r="I327" s="190"/>
      <c r="J327" s="191" t="s">
        <v>125</v>
      </c>
      <c r="K327" s="108">
        <v>2119</v>
      </c>
      <c r="L327" s="75" t="s">
        <v>116</v>
      </c>
    </row>
    <row r="328" spans="1:12" ht="22.5" x14ac:dyDescent="0.2">
      <c r="A328" s="47"/>
      <c r="B328" s="184" t="s">
        <v>126</v>
      </c>
      <c r="C328" s="185">
        <v>74</v>
      </c>
      <c r="D328" s="186">
        <v>1</v>
      </c>
      <c r="E328" s="186">
        <v>51</v>
      </c>
      <c r="F328" s="186">
        <v>0</v>
      </c>
      <c r="G328" s="47"/>
      <c r="H328" s="189">
        <f>ROUND(C328*D328*E328*F328,0)</f>
        <v>0</v>
      </c>
      <c r="I328" s="190"/>
      <c r="J328" s="191" t="s">
        <v>127</v>
      </c>
      <c r="K328" s="108">
        <v>2183</v>
      </c>
      <c r="L328" s="75" t="s">
        <v>116</v>
      </c>
    </row>
    <row r="329" spans="1:12" ht="22.5" x14ac:dyDescent="0.2">
      <c r="A329" s="47"/>
      <c r="B329" s="192" t="s">
        <v>128</v>
      </c>
      <c r="C329" s="185">
        <v>163</v>
      </c>
      <c r="D329" s="186">
        <v>1</v>
      </c>
      <c r="E329" s="186">
        <v>4</v>
      </c>
      <c r="F329" s="186">
        <v>1</v>
      </c>
      <c r="G329" s="47"/>
      <c r="H329" s="189">
        <f>ROUND(C329*D329*E329*F329,0)</f>
        <v>652</v>
      </c>
      <c r="I329" s="190"/>
      <c r="J329" s="191" t="s">
        <v>129</v>
      </c>
      <c r="K329" s="108">
        <v>2249</v>
      </c>
      <c r="L329" s="75" t="s">
        <v>116</v>
      </c>
    </row>
    <row r="330" spans="1:12" ht="22.5" x14ac:dyDescent="0.2">
      <c r="A330" s="47"/>
      <c r="B330" s="184" t="s">
        <v>130</v>
      </c>
      <c r="C330" s="185">
        <v>40</v>
      </c>
      <c r="D330" s="186">
        <v>2</v>
      </c>
      <c r="E330" s="186">
        <v>1</v>
      </c>
      <c r="F330" s="186">
        <v>1</v>
      </c>
      <c r="G330" s="47"/>
      <c r="H330" s="189">
        <f>ROUND(C330*D330*E330*F330,0)</f>
        <v>80</v>
      </c>
      <c r="I330" s="190"/>
      <c r="J330" s="193"/>
      <c r="K330" s="78"/>
      <c r="L330" s="75" t="s">
        <v>116</v>
      </c>
    </row>
    <row r="331" spans="1:12" ht="22.5" x14ac:dyDescent="0.2">
      <c r="A331" s="47"/>
      <c r="B331" s="184" t="s">
        <v>131</v>
      </c>
      <c r="C331" s="194">
        <v>0</v>
      </c>
      <c r="D331" s="186">
        <v>0</v>
      </c>
      <c r="E331" s="187"/>
      <c r="F331" s="186">
        <v>0</v>
      </c>
      <c r="G331" s="47"/>
      <c r="H331" s="189">
        <f>ROUND(C331*D331*F331,0)</f>
        <v>0</v>
      </c>
      <c r="I331" s="190"/>
      <c r="J331" s="193"/>
      <c r="K331" s="78"/>
      <c r="L331" s="75" t="s">
        <v>116</v>
      </c>
    </row>
    <row r="332" spans="1:12" ht="23.25" customHeight="1" x14ac:dyDescent="0.2">
      <c r="A332" s="47"/>
      <c r="B332" s="184" t="s">
        <v>132</v>
      </c>
      <c r="C332" s="185">
        <v>25</v>
      </c>
      <c r="D332" s="186">
        <v>1</v>
      </c>
      <c r="E332" s="186">
        <v>4</v>
      </c>
      <c r="F332" s="186">
        <v>1</v>
      </c>
      <c r="G332" s="47"/>
      <c r="H332" s="189">
        <f>ROUND(C332*D332*E332*F332,0)</f>
        <v>100</v>
      </c>
      <c r="I332" s="190"/>
      <c r="J332" s="193"/>
      <c r="K332" s="78"/>
      <c r="L332" s="75" t="s">
        <v>116</v>
      </c>
    </row>
    <row r="333" spans="1:12" ht="12" customHeight="1" x14ac:dyDescent="0.2">
      <c r="A333" s="47"/>
      <c r="B333" s="1032" t="s">
        <v>133</v>
      </c>
      <c r="C333" s="1033"/>
      <c r="D333" s="1033"/>
      <c r="E333" s="1033"/>
      <c r="F333" s="1033"/>
      <c r="G333" s="1033"/>
      <c r="H333" s="1033"/>
      <c r="I333" s="1033"/>
      <c r="J333" s="1034"/>
      <c r="K333" s="78"/>
      <c r="L333" s="75" t="s">
        <v>116</v>
      </c>
    </row>
    <row r="334" spans="1:12" ht="12" customHeight="1" x14ac:dyDescent="0.2">
      <c r="A334" s="47"/>
      <c r="B334" s="195"/>
      <c r="C334" s="195"/>
      <c r="D334" s="195"/>
      <c r="E334" s="195"/>
      <c r="F334" s="195"/>
      <c r="G334" s="195"/>
      <c r="H334" s="195"/>
      <c r="I334" s="195"/>
      <c r="J334" s="196"/>
      <c r="K334" s="78"/>
    </row>
    <row r="335" spans="1:12" x14ac:dyDescent="0.2">
      <c r="A335" s="47"/>
      <c r="B335" s="172" t="s">
        <v>114</v>
      </c>
      <c r="C335" s="992"/>
      <c r="D335" s="992"/>
      <c r="E335" s="992"/>
      <c r="F335" s="992"/>
      <c r="G335" s="992"/>
      <c r="H335" s="173">
        <f>SUM(H337:H343)</f>
        <v>17180</v>
      </c>
      <c r="I335" s="174" t="s">
        <v>15</v>
      </c>
      <c r="J335" s="175"/>
      <c r="K335" s="78" t="s">
        <v>115</v>
      </c>
      <c r="L335" s="75" t="s">
        <v>134</v>
      </c>
    </row>
    <row r="336" spans="1:12" ht="33" x14ac:dyDescent="0.2">
      <c r="A336" s="47"/>
      <c r="B336" s="197" t="s">
        <v>135</v>
      </c>
      <c r="C336" s="177" t="s">
        <v>118</v>
      </c>
      <c r="D336" s="198" t="s">
        <v>119</v>
      </c>
      <c r="E336" s="198" t="s">
        <v>120</v>
      </c>
      <c r="F336" s="180" t="s">
        <v>121</v>
      </c>
      <c r="G336" s="180"/>
      <c r="H336" s="181"/>
      <c r="I336" s="182"/>
      <c r="J336" s="183"/>
      <c r="K336" s="100"/>
      <c r="L336" s="75" t="s">
        <v>134</v>
      </c>
    </row>
    <row r="337" spans="1:12" ht="22.5" x14ac:dyDescent="0.2">
      <c r="A337" s="47"/>
      <c r="B337" s="184" t="s">
        <v>122</v>
      </c>
      <c r="C337" s="185">
        <v>450</v>
      </c>
      <c r="D337" s="186">
        <f>1*5</f>
        <v>5</v>
      </c>
      <c r="E337" s="187"/>
      <c r="F337" s="188">
        <v>2</v>
      </c>
      <c r="G337" s="47"/>
      <c r="H337" s="189">
        <f>ROUND(C337*D337*F337,0)</f>
        <v>4500</v>
      </c>
      <c r="I337" s="190"/>
      <c r="J337" s="191" t="s">
        <v>136</v>
      </c>
      <c r="K337" s="96">
        <f>17180/5</f>
        <v>3436</v>
      </c>
      <c r="L337" s="75" t="s">
        <v>134</v>
      </c>
    </row>
    <row r="338" spans="1:12" ht="22.5" x14ac:dyDescent="0.2">
      <c r="A338" s="47"/>
      <c r="B338" s="184" t="s">
        <v>124</v>
      </c>
      <c r="C338" s="185">
        <v>0</v>
      </c>
      <c r="D338" s="186">
        <v>0</v>
      </c>
      <c r="E338" s="187"/>
      <c r="F338" s="186">
        <v>0</v>
      </c>
      <c r="G338" s="47"/>
      <c r="H338" s="189">
        <f>ROUND(C338*D338*F338,0)</f>
        <v>0</v>
      </c>
      <c r="I338" s="190"/>
      <c r="J338" s="191" t="s">
        <v>137</v>
      </c>
      <c r="K338" s="96">
        <f>17180/5</f>
        <v>3436</v>
      </c>
      <c r="L338" s="75" t="s">
        <v>134</v>
      </c>
    </row>
    <row r="339" spans="1:12" ht="22.5" x14ac:dyDescent="0.2">
      <c r="A339" s="47"/>
      <c r="B339" s="184" t="s">
        <v>126</v>
      </c>
      <c r="C339" s="185">
        <v>122</v>
      </c>
      <c r="D339" s="186">
        <f>1*5</f>
        <v>5</v>
      </c>
      <c r="E339" s="186">
        <v>4</v>
      </c>
      <c r="F339" s="186">
        <v>2</v>
      </c>
      <c r="G339" s="47"/>
      <c r="H339" s="189">
        <f>ROUND(C339*D339*E339*F339,0)</f>
        <v>4880</v>
      </c>
      <c r="I339" s="190"/>
      <c r="J339" s="191" t="s">
        <v>138</v>
      </c>
      <c r="K339" s="96">
        <f t="shared" ref="K339:K341" si="0">17180/5</f>
        <v>3436</v>
      </c>
      <c r="L339" s="75" t="s">
        <v>134</v>
      </c>
    </row>
    <row r="340" spans="1:12" ht="22.5" x14ac:dyDescent="0.2">
      <c r="A340" s="47"/>
      <c r="B340" s="192" t="s">
        <v>128</v>
      </c>
      <c r="C340" s="185">
        <v>175</v>
      </c>
      <c r="D340" s="186">
        <f>1*5</f>
        <v>5</v>
      </c>
      <c r="E340" s="186">
        <v>4</v>
      </c>
      <c r="F340" s="186">
        <v>2</v>
      </c>
      <c r="G340" s="47"/>
      <c r="H340" s="189">
        <f>ROUND(C340*D340*E340*F340,0)</f>
        <v>7000</v>
      </c>
      <c r="I340" s="190"/>
      <c r="J340" s="191" t="s">
        <v>139</v>
      </c>
      <c r="K340" s="96">
        <f t="shared" si="0"/>
        <v>3436</v>
      </c>
      <c r="L340" s="75" t="s">
        <v>134</v>
      </c>
    </row>
    <row r="341" spans="1:12" ht="22.5" x14ac:dyDescent="0.2">
      <c r="A341" s="47"/>
      <c r="B341" s="184" t="s">
        <v>130</v>
      </c>
      <c r="C341" s="185">
        <v>40</v>
      </c>
      <c r="D341" s="186">
        <f>1*5</f>
        <v>5</v>
      </c>
      <c r="E341" s="186">
        <v>2</v>
      </c>
      <c r="F341" s="186">
        <v>2</v>
      </c>
      <c r="G341" s="47"/>
      <c r="H341" s="189">
        <f>ROUND(C341*D341*E341*F341,0)</f>
        <v>800</v>
      </c>
      <c r="I341" s="190"/>
      <c r="J341" s="191" t="s">
        <v>140</v>
      </c>
      <c r="K341" s="96">
        <f t="shared" si="0"/>
        <v>3436</v>
      </c>
      <c r="L341" s="75" t="s">
        <v>134</v>
      </c>
    </row>
    <row r="342" spans="1:12" ht="23.25" thickBot="1" x14ac:dyDescent="0.25">
      <c r="A342" s="47"/>
      <c r="B342" s="184" t="s">
        <v>131</v>
      </c>
      <c r="C342" s="194">
        <v>0</v>
      </c>
      <c r="D342" s="186">
        <v>0</v>
      </c>
      <c r="E342" s="187"/>
      <c r="F342" s="186">
        <v>0</v>
      </c>
      <c r="G342" s="47"/>
      <c r="H342" s="189">
        <f>ROUND(C342*D342*F342,0)</f>
        <v>0</v>
      </c>
      <c r="I342" s="190"/>
      <c r="J342" s="191" t="s">
        <v>141</v>
      </c>
      <c r="K342" s="109">
        <f>SUM(K337:K341)</f>
        <v>17180</v>
      </c>
      <c r="L342" s="75" t="s">
        <v>134</v>
      </c>
    </row>
    <row r="343" spans="1:12" ht="23.25" customHeight="1" thickTop="1" x14ac:dyDescent="0.2">
      <c r="A343" s="47"/>
      <c r="B343" s="184" t="s">
        <v>132</v>
      </c>
      <c r="C343" s="185">
        <v>0</v>
      </c>
      <c r="D343" s="186">
        <v>0</v>
      </c>
      <c r="E343" s="186">
        <v>0</v>
      </c>
      <c r="F343" s="186">
        <v>0</v>
      </c>
      <c r="G343" s="47"/>
      <c r="H343" s="189">
        <f>ROUND(C343*D343*E343*F343,0)</f>
        <v>0</v>
      </c>
      <c r="I343" s="190"/>
      <c r="J343" s="193"/>
      <c r="K343" s="78"/>
      <c r="L343" s="75" t="s">
        <v>134</v>
      </c>
    </row>
    <row r="344" spans="1:12" ht="12" customHeight="1" x14ac:dyDescent="0.2">
      <c r="A344" s="47"/>
      <c r="B344" s="1001" t="s">
        <v>142</v>
      </c>
      <c r="C344" s="1002"/>
      <c r="D344" s="1002"/>
      <c r="E344" s="1002"/>
      <c r="F344" s="1002"/>
      <c r="G344" s="199"/>
      <c r="H344" s="200"/>
      <c r="I344" s="201"/>
      <c r="J344" s="202"/>
      <c r="K344" s="78"/>
    </row>
    <row r="345" spans="1:12" ht="12" customHeight="1" x14ac:dyDescent="0.2">
      <c r="A345" s="47"/>
      <c r="B345" s="195"/>
      <c r="C345" s="195"/>
      <c r="D345" s="195"/>
      <c r="E345" s="195"/>
      <c r="F345" s="195"/>
      <c r="G345" s="195"/>
      <c r="H345" s="203"/>
      <c r="I345" s="204"/>
      <c r="J345" s="205"/>
      <c r="K345" s="78"/>
    </row>
    <row r="346" spans="1:12" ht="12" customHeight="1" x14ac:dyDescent="0.2">
      <c r="A346" s="47"/>
      <c r="B346" s="206" t="s">
        <v>114</v>
      </c>
      <c r="C346" s="992"/>
      <c r="D346" s="992"/>
      <c r="E346" s="992"/>
      <c r="F346" s="992"/>
      <c r="G346" s="992"/>
      <c r="H346" s="173">
        <f>SUM(H348:H354)</f>
        <v>5544</v>
      </c>
      <c r="I346" s="207" t="s">
        <v>15</v>
      </c>
      <c r="J346" s="208"/>
      <c r="K346" s="78"/>
      <c r="L346" s="75" t="s">
        <v>134</v>
      </c>
    </row>
    <row r="347" spans="1:12" ht="43.5" x14ac:dyDescent="0.2">
      <c r="A347" s="47"/>
      <c r="B347" s="197" t="s">
        <v>143</v>
      </c>
      <c r="C347" s="177" t="s">
        <v>118</v>
      </c>
      <c r="D347" s="198" t="s">
        <v>119</v>
      </c>
      <c r="E347" s="198" t="s">
        <v>120</v>
      </c>
      <c r="F347" s="180" t="s">
        <v>121</v>
      </c>
      <c r="G347" s="180"/>
      <c r="H347" s="181"/>
      <c r="I347" s="182"/>
      <c r="J347" s="183"/>
      <c r="K347" s="78"/>
      <c r="L347" s="75" t="s">
        <v>134</v>
      </c>
    </row>
    <row r="348" spans="1:12" ht="22.5" x14ac:dyDescent="0.2">
      <c r="A348" s="47"/>
      <c r="B348" s="184" t="s">
        <v>122</v>
      </c>
      <c r="C348" s="185">
        <v>500</v>
      </c>
      <c r="D348" s="186">
        <f>1</f>
        <v>1</v>
      </c>
      <c r="E348" s="187"/>
      <c r="F348" s="188">
        <v>3</v>
      </c>
      <c r="G348" s="47"/>
      <c r="H348" s="189">
        <f>ROUND(C348*D348*F348,0)</f>
        <v>1500</v>
      </c>
      <c r="I348" s="190"/>
      <c r="J348" s="193"/>
      <c r="K348" s="78"/>
      <c r="L348" s="75" t="s">
        <v>134</v>
      </c>
    </row>
    <row r="349" spans="1:12" ht="22.5" x14ac:dyDescent="0.2">
      <c r="A349" s="47"/>
      <c r="B349" s="184" t="s">
        <v>124</v>
      </c>
      <c r="C349" s="185">
        <v>0</v>
      </c>
      <c r="D349" s="186">
        <v>0</v>
      </c>
      <c r="E349" s="187"/>
      <c r="F349" s="186">
        <v>0</v>
      </c>
      <c r="G349" s="47"/>
      <c r="H349" s="189">
        <f>ROUND(C349*D349*F349,0)</f>
        <v>0</v>
      </c>
      <c r="I349" s="190"/>
      <c r="J349" s="193"/>
      <c r="K349" s="78"/>
      <c r="L349" s="75" t="s">
        <v>134</v>
      </c>
    </row>
    <row r="350" spans="1:12" ht="22.5" x14ac:dyDescent="0.2">
      <c r="A350" s="47"/>
      <c r="B350" s="184" t="s">
        <v>126</v>
      </c>
      <c r="C350" s="185">
        <v>122</v>
      </c>
      <c r="D350" s="186">
        <v>1</v>
      </c>
      <c r="E350" s="186">
        <v>4</v>
      </c>
      <c r="F350" s="186">
        <v>3</v>
      </c>
      <c r="G350" s="47"/>
      <c r="H350" s="189">
        <f>ROUND(C350*D350*E350*F350,0)</f>
        <v>1464</v>
      </c>
      <c r="I350" s="190"/>
      <c r="J350" s="193"/>
      <c r="K350" s="78"/>
      <c r="L350" s="75" t="s">
        <v>134</v>
      </c>
    </row>
    <row r="351" spans="1:12" ht="22.5" x14ac:dyDescent="0.2">
      <c r="A351" s="47"/>
      <c r="B351" s="192" t="s">
        <v>128</v>
      </c>
      <c r="C351" s="185">
        <v>175</v>
      </c>
      <c r="D351" s="186">
        <v>1</v>
      </c>
      <c r="E351" s="186">
        <v>4</v>
      </c>
      <c r="F351" s="186">
        <v>3</v>
      </c>
      <c r="G351" s="47"/>
      <c r="H351" s="189">
        <f>ROUND(C351*D351*E351*F351,0)</f>
        <v>2100</v>
      </c>
      <c r="I351" s="190"/>
      <c r="J351" s="193"/>
      <c r="K351" s="78"/>
      <c r="L351" s="75" t="s">
        <v>134</v>
      </c>
    </row>
    <row r="352" spans="1:12" ht="22.5" x14ac:dyDescent="0.2">
      <c r="A352" s="47"/>
      <c r="B352" s="184" t="s">
        <v>130</v>
      </c>
      <c r="C352" s="185">
        <v>40</v>
      </c>
      <c r="D352" s="186">
        <v>1</v>
      </c>
      <c r="E352" s="186">
        <v>4</v>
      </c>
      <c r="F352" s="186">
        <v>3</v>
      </c>
      <c r="G352" s="47"/>
      <c r="H352" s="189">
        <f>ROUND(C352*D352*E352*F352,0)</f>
        <v>480</v>
      </c>
      <c r="I352" s="190"/>
      <c r="J352" s="193"/>
      <c r="K352" s="78"/>
      <c r="L352" s="75" t="s">
        <v>134</v>
      </c>
    </row>
    <row r="353" spans="1:12" ht="22.5" x14ac:dyDescent="0.2">
      <c r="A353" s="47"/>
      <c r="B353" s="184" t="s">
        <v>131</v>
      </c>
      <c r="C353" s="194">
        <v>0</v>
      </c>
      <c r="D353" s="186">
        <v>0</v>
      </c>
      <c r="E353" s="187"/>
      <c r="F353" s="186">
        <v>0</v>
      </c>
      <c r="G353" s="47"/>
      <c r="H353" s="189">
        <f>ROUND(C353*D353*F353,0)</f>
        <v>0</v>
      </c>
      <c r="I353" s="190"/>
      <c r="J353" s="193"/>
      <c r="K353" s="78"/>
      <c r="L353" s="75" t="s">
        <v>134</v>
      </c>
    </row>
    <row r="354" spans="1:12" ht="22.5" x14ac:dyDescent="0.2">
      <c r="A354" s="47"/>
      <c r="B354" s="184" t="s">
        <v>132</v>
      </c>
      <c r="C354" s="185">
        <v>0</v>
      </c>
      <c r="D354" s="186">
        <v>0</v>
      </c>
      <c r="E354" s="186">
        <v>0</v>
      </c>
      <c r="F354" s="186">
        <v>0</v>
      </c>
      <c r="G354" s="47"/>
      <c r="H354" s="189">
        <f>ROUND(C354*D354*E354*F354,0)</f>
        <v>0</v>
      </c>
      <c r="I354" s="190"/>
      <c r="J354" s="193"/>
      <c r="K354" s="78"/>
      <c r="L354" s="75" t="s">
        <v>134</v>
      </c>
    </row>
    <row r="355" spans="1:12" ht="32.25" customHeight="1" x14ac:dyDescent="0.2">
      <c r="A355" s="47"/>
      <c r="B355" s="1001" t="s">
        <v>144</v>
      </c>
      <c r="C355" s="1002"/>
      <c r="D355" s="1002"/>
      <c r="E355" s="1002"/>
      <c r="F355" s="1002"/>
      <c r="G355" s="199"/>
      <c r="H355" s="209"/>
      <c r="I355" s="210"/>
      <c r="J355" s="211"/>
      <c r="K355" s="78"/>
    </row>
    <row r="356" spans="1:12" ht="9.9499999999999993" customHeight="1" x14ac:dyDescent="0.2">
      <c r="A356" s="47"/>
      <c r="B356" s="212"/>
      <c r="C356" s="212"/>
      <c r="D356" s="212"/>
      <c r="E356" s="212"/>
      <c r="F356" s="212"/>
      <c r="G356" s="212"/>
      <c r="H356" s="213"/>
      <c r="I356" s="214"/>
      <c r="J356" s="215"/>
      <c r="K356" s="78"/>
    </row>
    <row r="357" spans="1:12" x14ac:dyDescent="0.2">
      <c r="A357" s="47"/>
      <c r="B357" s="206" t="s">
        <v>114</v>
      </c>
      <c r="C357" s="992"/>
      <c r="D357" s="992"/>
      <c r="E357" s="992"/>
      <c r="F357" s="992"/>
      <c r="G357" s="992"/>
      <c r="H357" s="173">
        <f>SUM(H359:H365)</f>
        <v>1845</v>
      </c>
      <c r="I357" s="207" t="s">
        <v>15</v>
      </c>
      <c r="J357" s="208"/>
      <c r="K357" s="78"/>
      <c r="L357" s="75" t="s">
        <v>134</v>
      </c>
    </row>
    <row r="358" spans="1:12" ht="34.5" customHeight="1" x14ac:dyDescent="0.2">
      <c r="A358" s="47"/>
      <c r="B358" s="197" t="s">
        <v>145</v>
      </c>
      <c r="C358" s="177" t="s">
        <v>118</v>
      </c>
      <c r="D358" s="198" t="s">
        <v>119</v>
      </c>
      <c r="E358" s="198" t="s">
        <v>120</v>
      </c>
      <c r="F358" s="180" t="s">
        <v>121</v>
      </c>
      <c r="G358" s="180"/>
      <c r="H358" s="181"/>
      <c r="I358" s="182"/>
      <c r="J358" s="183"/>
      <c r="K358" s="78"/>
      <c r="L358" s="75" t="s">
        <v>134</v>
      </c>
    </row>
    <row r="359" spans="1:12" ht="22.5" x14ac:dyDescent="0.2">
      <c r="A359" s="47"/>
      <c r="B359" s="184" t="s">
        <v>122</v>
      </c>
      <c r="C359" s="185">
        <v>400</v>
      </c>
      <c r="D359" s="186">
        <v>1</v>
      </c>
      <c r="E359" s="187"/>
      <c r="F359" s="188">
        <v>1</v>
      </c>
      <c r="G359" s="47"/>
      <c r="H359" s="189">
        <f>ROUND(C359*D359*F359,0)</f>
        <v>400</v>
      </c>
      <c r="I359" s="190"/>
      <c r="J359" s="193"/>
      <c r="L359" s="75" t="s">
        <v>134</v>
      </c>
    </row>
    <row r="360" spans="1:12" ht="22.5" x14ac:dyDescent="0.2">
      <c r="A360" s="47"/>
      <c r="B360" s="184" t="s">
        <v>124</v>
      </c>
      <c r="C360" s="185">
        <v>0</v>
      </c>
      <c r="D360" s="186">
        <v>0</v>
      </c>
      <c r="E360" s="187"/>
      <c r="F360" s="186">
        <v>0</v>
      </c>
      <c r="G360" s="47"/>
      <c r="H360" s="189">
        <f>ROUND(C360*D360*F360,0)</f>
        <v>0</v>
      </c>
      <c r="I360" s="190"/>
      <c r="J360" s="193"/>
      <c r="L360" s="75" t="s">
        <v>134</v>
      </c>
    </row>
    <row r="361" spans="1:12" ht="22.5" x14ac:dyDescent="0.2">
      <c r="A361" s="47"/>
      <c r="B361" s="184" t="s">
        <v>126</v>
      </c>
      <c r="C361" s="185">
        <v>74</v>
      </c>
      <c r="D361" s="186">
        <v>1</v>
      </c>
      <c r="E361" s="186">
        <v>5</v>
      </c>
      <c r="F361" s="186">
        <v>1</v>
      </c>
      <c r="G361" s="47"/>
      <c r="H361" s="189">
        <f>ROUND(C361*D361*E361*F361,0)</f>
        <v>370</v>
      </c>
      <c r="I361" s="190"/>
      <c r="J361" s="193"/>
      <c r="L361" s="75" t="s">
        <v>134</v>
      </c>
    </row>
    <row r="362" spans="1:12" ht="22.5" x14ac:dyDescent="0.2">
      <c r="A362" s="47"/>
      <c r="B362" s="192" t="s">
        <v>128</v>
      </c>
      <c r="C362" s="185">
        <v>175</v>
      </c>
      <c r="D362" s="186">
        <v>1</v>
      </c>
      <c r="E362" s="186">
        <v>5</v>
      </c>
      <c r="F362" s="186">
        <v>1</v>
      </c>
      <c r="G362" s="47"/>
      <c r="H362" s="189">
        <f>ROUND(C362*D362*E362*F362,0)</f>
        <v>875</v>
      </c>
      <c r="I362" s="190"/>
      <c r="J362" s="193"/>
      <c r="L362" s="75" t="s">
        <v>134</v>
      </c>
    </row>
    <row r="363" spans="1:12" ht="30" customHeight="1" x14ac:dyDescent="0.2">
      <c r="A363" s="47"/>
      <c r="B363" s="184" t="s">
        <v>130</v>
      </c>
      <c r="C363" s="185">
        <v>40</v>
      </c>
      <c r="D363" s="186">
        <v>1</v>
      </c>
      <c r="E363" s="186">
        <v>5</v>
      </c>
      <c r="F363" s="186">
        <v>1</v>
      </c>
      <c r="G363" s="47"/>
      <c r="H363" s="189">
        <f>ROUND(C363*D363*E363*F363,0)</f>
        <v>200</v>
      </c>
      <c r="I363" s="190"/>
      <c r="J363" s="193"/>
      <c r="L363" s="75" t="s">
        <v>134</v>
      </c>
    </row>
    <row r="364" spans="1:12" ht="22.5" x14ac:dyDescent="0.2">
      <c r="A364" s="47"/>
      <c r="B364" s="184" t="s">
        <v>131</v>
      </c>
      <c r="C364" s="194">
        <v>0</v>
      </c>
      <c r="D364" s="186">
        <v>0</v>
      </c>
      <c r="E364" s="187"/>
      <c r="F364" s="186">
        <v>0</v>
      </c>
      <c r="G364" s="47"/>
      <c r="H364" s="189">
        <f>ROUND(C364*D364*F364,0)</f>
        <v>0</v>
      </c>
      <c r="I364" s="190"/>
      <c r="J364" s="193"/>
      <c r="L364" s="75" t="s">
        <v>134</v>
      </c>
    </row>
    <row r="365" spans="1:12" ht="37.15" customHeight="1" x14ac:dyDescent="0.2">
      <c r="A365" s="47"/>
      <c r="B365" s="184" t="s">
        <v>132</v>
      </c>
      <c r="C365" s="185">
        <v>0</v>
      </c>
      <c r="D365" s="186">
        <v>0</v>
      </c>
      <c r="E365" s="186">
        <v>0</v>
      </c>
      <c r="F365" s="186">
        <v>0</v>
      </c>
      <c r="G365" s="47"/>
      <c r="H365" s="189">
        <f>ROUND(C365*D365*E365*F365,0)</f>
        <v>0</v>
      </c>
      <c r="I365" s="190"/>
      <c r="J365" s="193"/>
      <c r="L365" s="75" t="s">
        <v>134</v>
      </c>
    </row>
    <row r="366" spans="1:12" x14ac:dyDescent="0.2">
      <c r="A366" s="47"/>
      <c r="B366" s="938" t="s">
        <v>146</v>
      </c>
      <c r="C366" s="939"/>
      <c r="D366" s="939"/>
      <c r="E366" s="939"/>
      <c r="F366" s="939"/>
      <c r="G366" s="212"/>
      <c r="H366" s="213"/>
      <c r="I366" s="214"/>
      <c r="J366" s="216"/>
    </row>
    <row r="367" spans="1:12" x14ac:dyDescent="0.2">
      <c r="A367" s="47"/>
      <c r="B367" s="1042" t="s">
        <v>147</v>
      </c>
      <c r="C367" s="1043"/>
      <c r="D367" s="1043"/>
      <c r="E367" s="1043"/>
      <c r="F367" s="1043"/>
      <c r="G367" s="1043"/>
      <c r="H367" s="200"/>
      <c r="I367" s="201"/>
      <c r="J367" s="202"/>
      <c r="K367" s="78"/>
    </row>
    <row r="368" spans="1:12" x14ac:dyDescent="0.2">
      <c r="A368" s="47"/>
      <c r="B368" s="217"/>
      <c r="C368" s="217"/>
      <c r="D368" s="217"/>
      <c r="E368" s="217"/>
      <c r="F368" s="217"/>
      <c r="G368" s="217"/>
      <c r="H368" s="203"/>
      <c r="I368" s="204"/>
      <c r="J368" s="205"/>
      <c r="K368" s="78"/>
    </row>
    <row r="369" spans="1:12" x14ac:dyDescent="0.2">
      <c r="A369" s="47" t="s">
        <v>13</v>
      </c>
      <c r="B369" s="218" t="s">
        <v>148</v>
      </c>
      <c r="C369" s="1049"/>
      <c r="D369" s="1049"/>
      <c r="E369" s="1049"/>
      <c r="F369" s="1049"/>
      <c r="G369" s="1049"/>
      <c r="H369" s="219">
        <f>SUM(G370:G379)</f>
        <v>2641</v>
      </c>
      <c r="I369" s="174" t="s">
        <v>26</v>
      </c>
      <c r="J369" s="220"/>
      <c r="K369" s="78"/>
      <c r="L369" s="75" t="s">
        <v>149</v>
      </c>
    </row>
    <row r="370" spans="1:12" x14ac:dyDescent="0.2">
      <c r="A370" s="47"/>
      <c r="B370" s="221" t="s">
        <v>150</v>
      </c>
      <c r="C370" s="177" t="s">
        <v>118</v>
      </c>
      <c r="D370" s="198" t="s">
        <v>119</v>
      </c>
      <c r="E370" s="198" t="s">
        <v>120</v>
      </c>
      <c r="F370" s="180" t="s">
        <v>121</v>
      </c>
      <c r="G370" s="180"/>
      <c r="H370" s="222"/>
      <c r="I370" s="188"/>
      <c r="J370" s="223"/>
      <c r="K370" s="78"/>
      <c r="L370" s="75" t="s">
        <v>149</v>
      </c>
    </row>
    <row r="371" spans="1:12" ht="22.5" x14ac:dyDescent="0.2">
      <c r="A371" s="47"/>
      <c r="B371" s="184" t="s">
        <v>122</v>
      </c>
      <c r="C371" s="185">
        <v>0</v>
      </c>
      <c r="D371" s="186">
        <v>0</v>
      </c>
      <c r="E371" s="187"/>
      <c r="F371" s="188">
        <v>0</v>
      </c>
      <c r="G371" s="189">
        <f>ROUND(C371*D371*F371,0)</f>
        <v>0</v>
      </c>
      <c r="H371" s="47"/>
      <c r="I371" s="190"/>
      <c r="J371" s="193"/>
      <c r="K371" s="78"/>
      <c r="L371" s="75" t="s">
        <v>149</v>
      </c>
    </row>
    <row r="372" spans="1:12" ht="22.5" x14ac:dyDescent="0.2">
      <c r="A372" s="47"/>
      <c r="B372" s="184" t="s">
        <v>124</v>
      </c>
      <c r="C372" s="185">
        <v>0</v>
      </c>
      <c r="D372" s="186">
        <v>0</v>
      </c>
      <c r="E372" s="187"/>
      <c r="F372" s="186">
        <v>0</v>
      </c>
      <c r="G372" s="189">
        <f>ROUND(C372*D372*F372,0)</f>
        <v>0</v>
      </c>
      <c r="H372" s="47"/>
      <c r="I372" s="190"/>
      <c r="J372" s="193"/>
      <c r="K372" s="78"/>
      <c r="L372" s="75" t="s">
        <v>149</v>
      </c>
    </row>
    <row r="373" spans="1:12" ht="22.5" x14ac:dyDescent="0.2">
      <c r="A373" s="47"/>
      <c r="B373" s="184" t="s">
        <v>126</v>
      </c>
      <c r="C373" s="185">
        <v>0</v>
      </c>
      <c r="D373" s="186">
        <v>0</v>
      </c>
      <c r="E373" s="186">
        <v>0</v>
      </c>
      <c r="F373" s="186">
        <v>0</v>
      </c>
      <c r="G373" s="189">
        <f>ROUND(C373*D373*E373*F373,0)</f>
        <v>0</v>
      </c>
      <c r="H373" s="47"/>
      <c r="I373" s="190"/>
      <c r="J373" s="193"/>
      <c r="K373" s="78"/>
      <c r="L373" s="75" t="s">
        <v>149</v>
      </c>
    </row>
    <row r="374" spans="1:12" ht="22.5" x14ac:dyDescent="0.2">
      <c r="A374" s="47"/>
      <c r="B374" s="192" t="s">
        <v>128</v>
      </c>
      <c r="C374" s="185">
        <v>0</v>
      </c>
      <c r="D374" s="224">
        <v>0</v>
      </c>
      <c r="E374" s="186">
        <v>0</v>
      </c>
      <c r="F374" s="186">
        <v>0</v>
      </c>
      <c r="G374" s="189">
        <f>ROUND(C374*D374*E374*F374,0)</f>
        <v>0</v>
      </c>
      <c r="H374" s="47"/>
      <c r="I374" s="190"/>
      <c r="J374" s="193"/>
      <c r="K374" s="78"/>
      <c r="L374" s="75" t="s">
        <v>149</v>
      </c>
    </row>
    <row r="375" spans="1:12" ht="22.5" x14ac:dyDescent="0.2">
      <c r="A375" s="47"/>
      <c r="B375" s="225" t="s">
        <v>151</v>
      </c>
      <c r="C375" s="226">
        <v>0</v>
      </c>
      <c r="D375" s="224">
        <v>0</v>
      </c>
      <c r="E375" s="186">
        <v>0</v>
      </c>
      <c r="F375" s="187"/>
      <c r="G375" s="189">
        <f>ROUND(C375*D375*E375,0)</f>
        <v>0</v>
      </c>
      <c r="H375" s="47"/>
      <c r="I375" s="190"/>
      <c r="J375" s="193"/>
      <c r="K375" s="78"/>
      <c r="L375" s="75" t="s">
        <v>149</v>
      </c>
    </row>
    <row r="376" spans="1:12" ht="33.75" x14ac:dyDescent="0.2">
      <c r="A376" s="47"/>
      <c r="B376" s="227" t="s">
        <v>152</v>
      </c>
      <c r="C376" s="228">
        <f>0.625*12.43</f>
        <v>7.7687499999999998</v>
      </c>
      <c r="D376" s="229">
        <v>85</v>
      </c>
      <c r="E376" s="230"/>
      <c r="F376" s="231">
        <v>4</v>
      </c>
      <c r="G376" s="232">
        <f>ROUND(C376*D376*F376,0)</f>
        <v>2641</v>
      </c>
      <c r="H376" s="233" t="s">
        <v>153</v>
      </c>
      <c r="I376" s="234" t="s">
        <v>26</v>
      </c>
      <c r="J376" s="193"/>
      <c r="K376" s="78"/>
      <c r="L376" s="75" t="s">
        <v>149</v>
      </c>
    </row>
    <row r="377" spans="1:12" ht="32.25" customHeight="1" x14ac:dyDescent="0.2">
      <c r="A377" s="47"/>
      <c r="B377" s="184" t="s">
        <v>132</v>
      </c>
      <c r="C377" s="185">
        <v>0</v>
      </c>
      <c r="D377" s="186">
        <v>0</v>
      </c>
      <c r="E377" s="186">
        <v>0</v>
      </c>
      <c r="F377" s="186">
        <v>0</v>
      </c>
      <c r="G377" s="189">
        <f>ROUND(C377*D377*E377*F377,0)</f>
        <v>0</v>
      </c>
      <c r="H377" s="47"/>
      <c r="I377" s="190"/>
      <c r="J377" s="193"/>
      <c r="K377" s="78"/>
      <c r="L377" s="75" t="s">
        <v>149</v>
      </c>
    </row>
    <row r="378" spans="1:12" x14ac:dyDescent="0.2">
      <c r="A378" s="47"/>
      <c r="B378" s="184"/>
      <c r="C378" s="185"/>
      <c r="D378" s="185"/>
      <c r="E378" s="185"/>
      <c r="F378" s="222"/>
      <c r="G378" s="222"/>
      <c r="H378" s="47"/>
      <c r="I378" s="190"/>
      <c r="J378" s="193"/>
      <c r="K378" s="78"/>
      <c r="L378" s="75" t="s">
        <v>149</v>
      </c>
    </row>
    <row r="379" spans="1:12" ht="14.25" customHeight="1" x14ac:dyDescent="0.2">
      <c r="A379" s="47"/>
      <c r="B379" s="993" t="s">
        <v>154</v>
      </c>
      <c r="C379" s="994"/>
      <c r="D379" s="994"/>
      <c r="E379" s="994"/>
      <c r="F379" s="994"/>
      <c r="G379" s="994"/>
      <c r="H379" s="994"/>
      <c r="I379" s="994"/>
      <c r="J379" s="995"/>
      <c r="K379" s="78"/>
      <c r="L379" s="75" t="s">
        <v>149</v>
      </c>
    </row>
    <row r="380" spans="1:12" ht="9.9499999999999993" customHeight="1" x14ac:dyDescent="0.2">
      <c r="A380" s="47"/>
      <c r="B380" s="235"/>
      <c r="C380" s="235"/>
      <c r="D380" s="235"/>
      <c r="E380" s="235"/>
      <c r="F380" s="235"/>
      <c r="G380" s="235"/>
      <c r="H380" s="235"/>
      <c r="I380" s="235"/>
      <c r="J380" s="236"/>
      <c r="K380" s="78"/>
    </row>
    <row r="381" spans="1:12" x14ac:dyDescent="0.2">
      <c r="A381" s="47"/>
      <c r="B381" s="218" t="s">
        <v>148</v>
      </c>
      <c r="C381" s="1049"/>
      <c r="D381" s="1049"/>
      <c r="E381" s="1049"/>
      <c r="F381" s="1049"/>
      <c r="G381" s="1049"/>
      <c r="H381" s="219">
        <f>SUM(G382:G391)</f>
        <v>7313</v>
      </c>
      <c r="I381" s="174" t="s">
        <v>15</v>
      </c>
      <c r="J381" s="220"/>
      <c r="K381" s="78"/>
      <c r="L381" s="75" t="s">
        <v>155</v>
      </c>
    </row>
    <row r="382" spans="1:12" x14ac:dyDescent="0.2">
      <c r="A382" s="47"/>
      <c r="B382" s="221" t="s">
        <v>150</v>
      </c>
      <c r="C382" s="177" t="s">
        <v>118</v>
      </c>
      <c r="D382" s="198" t="s">
        <v>119</v>
      </c>
      <c r="E382" s="198" t="s">
        <v>120</v>
      </c>
      <c r="F382" s="180" t="s">
        <v>121</v>
      </c>
      <c r="G382" s="180"/>
      <c r="H382" s="222"/>
      <c r="I382" s="188"/>
      <c r="J382" s="223"/>
      <c r="K382" s="78"/>
      <c r="L382" s="75" t="s">
        <v>155</v>
      </c>
    </row>
    <row r="383" spans="1:12" ht="22.5" x14ac:dyDescent="0.2">
      <c r="A383" s="47"/>
      <c r="B383" s="184" t="s">
        <v>122</v>
      </c>
      <c r="C383" s="185">
        <v>0</v>
      </c>
      <c r="D383" s="186">
        <v>0</v>
      </c>
      <c r="E383" s="187"/>
      <c r="F383" s="188">
        <v>0</v>
      </c>
      <c r="G383" s="189">
        <f>ROUND(C383*D383*F383,0)</f>
        <v>0</v>
      </c>
      <c r="H383" s="47"/>
      <c r="I383" s="190"/>
      <c r="J383" s="193"/>
      <c r="K383" s="78"/>
      <c r="L383" s="75" t="s">
        <v>155</v>
      </c>
    </row>
    <row r="384" spans="1:12" ht="22.5" x14ac:dyDescent="0.2">
      <c r="A384" s="47"/>
      <c r="B384" s="184" t="s">
        <v>124</v>
      </c>
      <c r="C384" s="185">
        <v>0</v>
      </c>
      <c r="D384" s="186">
        <v>0</v>
      </c>
      <c r="E384" s="187"/>
      <c r="F384" s="186">
        <v>0</v>
      </c>
      <c r="G384" s="189">
        <f>ROUND(C384*D384*F384,0)</f>
        <v>0</v>
      </c>
      <c r="H384" s="47"/>
      <c r="I384" s="190"/>
      <c r="J384" s="193"/>
      <c r="K384" s="78"/>
      <c r="L384" s="75" t="s">
        <v>155</v>
      </c>
    </row>
    <row r="385" spans="1:12" ht="22.5" x14ac:dyDescent="0.2">
      <c r="A385" s="47"/>
      <c r="B385" s="184" t="s">
        <v>126</v>
      </c>
      <c r="C385" s="185">
        <v>0</v>
      </c>
      <c r="D385" s="186">
        <v>0</v>
      </c>
      <c r="E385" s="186">
        <v>0</v>
      </c>
      <c r="F385" s="186">
        <v>0</v>
      </c>
      <c r="G385" s="189">
        <f>ROUND(C385*D385*E385*F385,0)</f>
        <v>0</v>
      </c>
      <c r="H385" s="47"/>
      <c r="I385" s="190"/>
      <c r="J385" s="193"/>
      <c r="K385" s="78"/>
      <c r="L385" s="75" t="s">
        <v>155</v>
      </c>
    </row>
    <row r="386" spans="1:12" ht="22.5" x14ac:dyDescent="0.2">
      <c r="A386" s="47"/>
      <c r="B386" s="192" t="s">
        <v>128</v>
      </c>
      <c r="C386" s="185">
        <v>0</v>
      </c>
      <c r="D386" s="224">
        <v>0</v>
      </c>
      <c r="E386" s="186">
        <v>0</v>
      </c>
      <c r="F386" s="186">
        <v>0</v>
      </c>
      <c r="G386" s="189">
        <f>ROUND(C386*D386*E386*F386,0)</f>
        <v>0</v>
      </c>
      <c r="H386" s="47"/>
      <c r="I386" s="190"/>
      <c r="J386" s="193"/>
      <c r="K386" s="78"/>
      <c r="L386" s="75" t="s">
        <v>155</v>
      </c>
    </row>
    <row r="387" spans="1:12" ht="22.5" x14ac:dyDescent="0.2">
      <c r="A387" s="47"/>
      <c r="B387" s="225" t="s">
        <v>151</v>
      </c>
      <c r="C387" s="226">
        <v>0</v>
      </c>
      <c r="D387" s="224">
        <v>0</v>
      </c>
      <c r="E387" s="186">
        <v>0</v>
      </c>
      <c r="F387" s="187"/>
      <c r="G387" s="189">
        <f>ROUND(C387*D387*E387,0)</f>
        <v>0</v>
      </c>
      <c r="H387" s="47"/>
      <c r="I387" s="190"/>
      <c r="J387" s="193"/>
      <c r="K387" s="78"/>
      <c r="L387" s="75" t="s">
        <v>155</v>
      </c>
    </row>
    <row r="388" spans="1:12" ht="22.5" x14ac:dyDescent="0.2">
      <c r="A388" s="47"/>
      <c r="B388" s="184" t="s">
        <v>131</v>
      </c>
      <c r="C388" s="194">
        <v>0.625</v>
      </c>
      <c r="D388" s="92">
        <f>(195*12)*5</f>
        <v>11700</v>
      </c>
      <c r="E388" s="187"/>
      <c r="F388" s="186">
        <v>1</v>
      </c>
      <c r="G388" s="189">
        <f>ROUND(C388*D388*F388,0)</f>
        <v>7313</v>
      </c>
      <c r="H388" s="47"/>
      <c r="I388" s="190" t="s">
        <v>15</v>
      </c>
      <c r="J388" s="193"/>
      <c r="K388" s="78"/>
      <c r="L388" s="75" t="s">
        <v>155</v>
      </c>
    </row>
    <row r="389" spans="1:12" ht="32.25" customHeight="1" x14ac:dyDescent="0.2">
      <c r="A389" s="47"/>
      <c r="B389" s="184" t="s">
        <v>132</v>
      </c>
      <c r="C389" s="185">
        <v>0</v>
      </c>
      <c r="D389" s="186">
        <v>0</v>
      </c>
      <c r="E389" s="186">
        <v>0</v>
      </c>
      <c r="F389" s="186">
        <v>0</v>
      </c>
      <c r="G389" s="189">
        <f>ROUND(C389*D389*E389*F389,0)</f>
        <v>0</v>
      </c>
      <c r="H389" s="47"/>
      <c r="I389" s="190"/>
      <c r="J389" s="193"/>
      <c r="K389" s="78"/>
      <c r="L389" s="75" t="s">
        <v>155</v>
      </c>
    </row>
    <row r="390" spans="1:12" x14ac:dyDescent="0.2">
      <c r="A390" s="47"/>
      <c r="B390" s="184"/>
      <c r="C390" s="185"/>
      <c r="D390" s="185"/>
      <c r="E390" s="185"/>
      <c r="F390" s="222"/>
      <c r="G390" s="222"/>
      <c r="H390" s="47"/>
      <c r="I390" s="190"/>
      <c r="J390" s="193"/>
      <c r="K390" s="78"/>
      <c r="L390" s="75" t="s">
        <v>155</v>
      </c>
    </row>
    <row r="391" spans="1:12" ht="12.75" customHeight="1" x14ac:dyDescent="0.2">
      <c r="A391" s="47"/>
      <c r="B391" s="1050" t="s">
        <v>156</v>
      </c>
      <c r="C391" s="1033"/>
      <c r="D391" s="1033"/>
      <c r="E391" s="1033"/>
      <c r="F391" s="1033"/>
      <c r="G391" s="1033"/>
      <c r="H391" s="1033"/>
      <c r="I391" s="1033"/>
      <c r="J391" s="1034"/>
      <c r="K391" s="78"/>
      <c r="L391" s="75" t="s">
        <v>155</v>
      </c>
    </row>
    <row r="392" spans="1:12" x14ac:dyDescent="0.2">
      <c r="A392" s="47"/>
      <c r="B392" s="185"/>
      <c r="C392" s="185"/>
      <c r="D392" s="185"/>
      <c r="E392" s="185"/>
      <c r="F392" s="222"/>
      <c r="G392" s="222"/>
      <c r="H392" s="222"/>
      <c r="I392" s="188"/>
      <c r="J392" s="237"/>
      <c r="K392" s="78"/>
    </row>
    <row r="393" spans="1:12" x14ac:dyDescent="0.2">
      <c r="A393" s="47"/>
      <c r="B393" s="930" t="s">
        <v>157</v>
      </c>
      <c r="C393" s="930"/>
      <c r="D393" s="930"/>
      <c r="E393" s="930"/>
      <c r="F393" s="930"/>
      <c r="G393" s="930"/>
      <c r="H393" s="930"/>
      <c r="I393" s="930"/>
      <c r="J393" s="238">
        <f>ROUND(SUM(H395:H397),0)</f>
        <v>2828</v>
      </c>
    </row>
    <row r="394" spans="1:12" x14ac:dyDescent="0.2">
      <c r="A394" s="47"/>
      <c r="B394" s="1031" t="s">
        <v>158</v>
      </c>
      <c r="C394" s="1031"/>
      <c r="D394" s="1031"/>
      <c r="E394" s="1031"/>
      <c r="F394" s="1031"/>
      <c r="G394" s="1031"/>
      <c r="H394" s="1031"/>
      <c r="I394" s="170"/>
      <c r="J394" s="171"/>
    </row>
    <row r="395" spans="1:12" x14ac:dyDescent="0.2">
      <c r="A395" s="47"/>
      <c r="B395" s="1003" t="s">
        <v>159</v>
      </c>
      <c r="C395" s="1004"/>
      <c r="D395" s="1004"/>
      <c r="E395" s="1004"/>
      <c r="F395" s="1004"/>
      <c r="G395" s="1004"/>
      <c r="H395" s="239">
        <v>727.61</v>
      </c>
      <c r="I395" s="240" t="s">
        <v>15</v>
      </c>
      <c r="J395" s="241"/>
      <c r="L395" s="75" t="s">
        <v>116</v>
      </c>
    </row>
    <row r="396" spans="1:12" x14ac:dyDescent="0.2">
      <c r="A396" s="47"/>
      <c r="B396" s="1005" t="s">
        <v>160</v>
      </c>
      <c r="C396" s="1006"/>
      <c r="D396" s="1006"/>
      <c r="E396" s="1006"/>
      <c r="F396" s="1006"/>
      <c r="G396" s="1006"/>
      <c r="H396" s="226">
        <v>2100</v>
      </c>
      <c r="I396" s="242" t="s">
        <v>15</v>
      </c>
      <c r="J396" s="243"/>
      <c r="L396" s="75" t="s">
        <v>116</v>
      </c>
    </row>
    <row r="397" spans="1:12" ht="26.25" customHeight="1" x14ac:dyDescent="0.2">
      <c r="A397" s="47"/>
      <c r="B397" s="1032" t="s">
        <v>161</v>
      </c>
      <c r="C397" s="1033"/>
      <c r="D397" s="1033"/>
      <c r="E397" s="1033"/>
      <c r="F397" s="1033"/>
      <c r="G397" s="1033"/>
      <c r="H397" s="1033"/>
      <c r="I397" s="1033"/>
      <c r="J397" s="1034"/>
    </row>
    <row r="398" spans="1:12" hidden="1" x14ac:dyDescent="0.2">
      <c r="A398" s="47"/>
      <c r="B398" s="930" t="s">
        <v>162</v>
      </c>
      <c r="C398" s="930"/>
      <c r="D398" s="930"/>
      <c r="E398" s="930"/>
      <c r="F398" s="930"/>
      <c r="G398" s="930"/>
      <c r="H398" s="930"/>
      <c r="I398" s="930"/>
      <c r="J398" s="238">
        <f>ROUND(H400,0)</f>
        <v>0</v>
      </c>
    </row>
    <row r="399" spans="1:12" hidden="1" x14ac:dyDescent="0.2">
      <c r="A399" s="47"/>
      <c r="B399" s="1031" t="s">
        <v>163</v>
      </c>
      <c r="C399" s="1031"/>
      <c r="D399" s="1031"/>
      <c r="E399" s="1031"/>
      <c r="F399" s="1031"/>
      <c r="G399" s="1031"/>
      <c r="H399" s="1031"/>
      <c r="I399" s="170"/>
      <c r="J399" s="171"/>
      <c r="K399" s="78"/>
    </row>
    <row r="400" spans="1:12" hidden="1" x14ac:dyDescent="0.2">
      <c r="A400" s="47"/>
      <c r="B400" s="1006" t="s">
        <v>164</v>
      </c>
      <c r="C400" s="1006"/>
      <c r="D400" s="1006"/>
      <c r="E400" s="1006"/>
      <c r="F400" s="1006"/>
      <c r="G400" s="1006"/>
      <c r="H400" s="244">
        <v>0</v>
      </c>
      <c r="I400" s="177"/>
      <c r="J400" s="245"/>
      <c r="K400" s="78"/>
    </row>
    <row r="401" spans="1:12" hidden="1" x14ac:dyDescent="0.2">
      <c r="A401" s="47"/>
      <c r="B401" s="246"/>
      <c r="C401" s="246"/>
      <c r="D401" s="246"/>
      <c r="E401" s="244"/>
      <c r="F401" s="246"/>
      <c r="G401" s="246"/>
      <c r="H401" s="246"/>
      <c r="I401" s="177"/>
      <c r="J401" s="245"/>
      <c r="K401" s="78"/>
    </row>
    <row r="402" spans="1:12" x14ac:dyDescent="0.2">
      <c r="A402" s="47"/>
      <c r="B402" s="930" t="s">
        <v>165</v>
      </c>
      <c r="C402" s="930"/>
      <c r="D402" s="930"/>
      <c r="E402" s="930"/>
      <c r="F402" s="930"/>
      <c r="G402" s="930"/>
      <c r="H402" s="930"/>
      <c r="I402" s="930"/>
      <c r="J402" s="125">
        <f>ROUND(SUBTOTAL(9,E411:E623),0)</f>
        <v>3467864</v>
      </c>
      <c r="K402" s="78">
        <v>2320208</v>
      </c>
      <c r="L402" s="110">
        <f>(K402-J402)+SUM(L404:L622)</f>
        <v>-1098808</v>
      </c>
    </row>
    <row r="403" spans="1:12" x14ac:dyDescent="0.2">
      <c r="A403" s="47"/>
      <c r="B403" s="1031" t="s">
        <v>166</v>
      </c>
      <c r="C403" s="1031"/>
      <c r="D403" s="1031"/>
      <c r="E403" s="1031"/>
      <c r="F403" s="1031"/>
      <c r="G403" s="1031"/>
      <c r="H403" s="1031"/>
      <c r="I403" s="170"/>
      <c r="J403" s="171"/>
      <c r="K403" s="98"/>
    </row>
    <row r="404" spans="1:12" x14ac:dyDescent="0.2">
      <c r="A404" s="47"/>
      <c r="B404" s="247" t="s">
        <v>167</v>
      </c>
      <c r="C404" s="982" t="s">
        <v>168</v>
      </c>
      <c r="D404" s="982"/>
      <c r="E404" s="937" t="s">
        <v>169</v>
      </c>
      <c r="F404" s="937"/>
      <c r="G404" s="248">
        <f>E414</f>
        <v>74000</v>
      </c>
      <c r="H404" s="94"/>
      <c r="I404" s="249" t="s">
        <v>15</v>
      </c>
      <c r="J404" s="250"/>
      <c r="K404" s="98"/>
    </row>
    <row r="405" spans="1:12" ht="21.75" customHeight="1" x14ac:dyDescent="0.2">
      <c r="A405" s="47"/>
      <c r="B405" s="251" t="s">
        <v>170</v>
      </c>
      <c r="C405" s="975" t="s">
        <v>171</v>
      </c>
      <c r="D405" s="975"/>
      <c r="E405" s="975"/>
      <c r="F405" s="975"/>
      <c r="G405" s="975"/>
      <c r="H405" s="975"/>
      <c r="I405" s="975"/>
      <c r="J405" s="976"/>
      <c r="K405" s="98"/>
    </row>
    <row r="406" spans="1:12" x14ac:dyDescent="0.2">
      <c r="A406" s="47"/>
      <c r="B406" s="251" t="s">
        <v>172</v>
      </c>
      <c r="C406" s="973" t="s">
        <v>173</v>
      </c>
      <c r="D406" s="973"/>
      <c r="E406" s="973"/>
      <c r="F406" s="973"/>
      <c r="G406" s="973"/>
      <c r="H406" s="973"/>
      <c r="I406" s="973"/>
      <c r="J406" s="974"/>
      <c r="K406" s="98"/>
    </row>
    <row r="407" spans="1:12" ht="12.75" customHeight="1" x14ac:dyDescent="0.2">
      <c r="A407" s="47"/>
      <c r="B407" s="989" t="s">
        <v>174</v>
      </c>
      <c r="C407" s="990"/>
      <c r="D407" s="990"/>
      <c r="E407" s="990"/>
      <c r="F407" s="990"/>
      <c r="G407" s="990"/>
      <c r="H407" s="990"/>
      <c r="I407" s="990"/>
      <c r="J407" s="991"/>
      <c r="K407" s="78"/>
      <c r="L407" s="111"/>
    </row>
    <row r="408" spans="1:12" ht="12.75" customHeight="1" x14ac:dyDescent="0.2">
      <c r="A408" s="47"/>
      <c r="B408" s="1008" t="s">
        <v>175</v>
      </c>
      <c r="C408" s="1009"/>
      <c r="D408" s="1009"/>
      <c r="E408" s="1009"/>
      <c r="F408" s="1009"/>
      <c r="G408" s="1009"/>
      <c r="H408" s="1009"/>
      <c r="I408" s="1009"/>
      <c r="J408" s="1010"/>
      <c r="K408" s="78"/>
    </row>
    <row r="409" spans="1:12" ht="11.25" customHeight="1" x14ac:dyDescent="0.2">
      <c r="A409" s="47"/>
      <c r="B409" s="252" t="s">
        <v>176</v>
      </c>
      <c r="C409" s="971" t="s">
        <v>177</v>
      </c>
      <c r="D409" s="971"/>
      <c r="E409" s="971"/>
      <c r="F409" s="971"/>
      <c r="G409" s="971"/>
      <c r="H409" s="971"/>
      <c r="I409" s="971"/>
      <c r="J409" s="972"/>
      <c r="K409" s="78"/>
    </row>
    <row r="410" spans="1:12" x14ac:dyDescent="0.2">
      <c r="A410" s="47"/>
      <c r="B410" s="943" t="s">
        <v>178</v>
      </c>
      <c r="C410" s="944"/>
      <c r="D410" s="944"/>
      <c r="E410" s="944"/>
      <c r="F410" s="213"/>
      <c r="G410" s="213"/>
      <c r="H410" s="213"/>
      <c r="I410" s="213"/>
      <c r="J410" s="253"/>
      <c r="K410" s="78"/>
    </row>
    <row r="411" spans="1:12" x14ac:dyDescent="0.2">
      <c r="A411" s="47" t="s">
        <v>13</v>
      </c>
      <c r="B411" s="984"/>
      <c r="C411" s="985"/>
      <c r="D411" s="255" t="s">
        <v>13</v>
      </c>
      <c r="E411" s="226">
        <v>71100</v>
      </c>
      <c r="F411" s="181"/>
      <c r="G411" s="47"/>
      <c r="H411" s="47"/>
      <c r="I411" s="214" t="s">
        <v>15</v>
      </c>
      <c r="J411" s="256"/>
      <c r="K411" s="112"/>
    </row>
    <row r="412" spans="1:12" x14ac:dyDescent="0.2">
      <c r="A412" s="47"/>
      <c r="B412" s="317"/>
      <c r="C412" s="254"/>
      <c r="D412" s="255"/>
      <c r="E412" s="226">
        <v>2900</v>
      </c>
      <c r="F412" s="181"/>
      <c r="G412" s="47"/>
      <c r="H412" s="47"/>
      <c r="I412" s="214" t="s">
        <v>15</v>
      </c>
      <c r="J412" s="256"/>
      <c r="K412" s="112"/>
    </row>
    <row r="413" spans="1:12" x14ac:dyDescent="0.2">
      <c r="A413" s="47"/>
      <c r="B413" s="317"/>
      <c r="C413" s="254"/>
      <c r="D413" s="255"/>
      <c r="E413" s="226"/>
      <c r="F413" s="181"/>
      <c r="G413" s="47"/>
      <c r="H413" s="47"/>
      <c r="I413" s="214"/>
      <c r="J413" s="256"/>
      <c r="K413" s="112"/>
    </row>
    <row r="414" spans="1:12" ht="12" thickBot="1" x14ac:dyDescent="0.25">
      <c r="A414" s="47"/>
      <c r="B414" s="935" t="s">
        <v>169</v>
      </c>
      <c r="C414" s="936"/>
      <c r="D414" s="936"/>
      <c r="E414" s="257">
        <f>SUBTOTAL(9,E411:E412)</f>
        <v>74000</v>
      </c>
      <c r="F414" s="258"/>
      <c r="G414" s="47"/>
      <c r="H414" s="47"/>
      <c r="I414" s="214"/>
      <c r="J414" s="256"/>
      <c r="K414" s="78"/>
    </row>
    <row r="415" spans="1:12" ht="12" thickTop="1" x14ac:dyDescent="0.2">
      <c r="A415" s="47"/>
      <c r="B415" s="1007" t="s">
        <v>179</v>
      </c>
      <c r="C415" s="997"/>
      <c r="D415" s="997"/>
      <c r="E415" s="997"/>
      <c r="F415" s="997"/>
      <c r="G415" s="997"/>
      <c r="H415" s="997"/>
      <c r="I415" s="997"/>
      <c r="J415" s="998"/>
      <c r="K415" s="78"/>
    </row>
    <row r="416" spans="1:12" x14ac:dyDescent="0.2">
      <c r="A416" s="47"/>
      <c r="B416" s="259"/>
      <c r="C416" s="260"/>
      <c r="D416" s="260"/>
      <c r="E416" s="260"/>
      <c r="F416" s="260"/>
      <c r="G416" s="260"/>
      <c r="H416" s="261"/>
      <c r="I416" s="262"/>
      <c r="J416" s="263"/>
      <c r="K416" s="98"/>
    </row>
    <row r="417" spans="1:11" ht="11.25" customHeight="1" x14ac:dyDescent="0.2">
      <c r="A417" s="47"/>
      <c r="B417" s="264" t="s">
        <v>167</v>
      </c>
      <c r="C417" s="983" t="s">
        <v>180</v>
      </c>
      <c r="D417" s="983"/>
      <c r="E417" s="937" t="s">
        <v>169</v>
      </c>
      <c r="F417" s="937"/>
      <c r="G417" s="248">
        <f>E429</f>
        <v>60000</v>
      </c>
      <c r="H417" s="265"/>
      <c r="I417" s="266" t="s">
        <v>15</v>
      </c>
      <c r="J417" s="267"/>
      <c r="K417" s="98"/>
    </row>
    <row r="418" spans="1:11" x14ac:dyDescent="0.2">
      <c r="A418" s="47"/>
      <c r="B418" s="268" t="s">
        <v>170</v>
      </c>
      <c r="C418" s="999" t="s">
        <v>181</v>
      </c>
      <c r="D418" s="999"/>
      <c r="E418" s="999"/>
      <c r="F418" s="999"/>
      <c r="G418" s="999"/>
      <c r="H418" s="999"/>
      <c r="I418" s="999"/>
      <c r="J418" s="1000"/>
      <c r="K418" s="98"/>
    </row>
    <row r="419" spans="1:11" x14ac:dyDescent="0.2">
      <c r="A419" s="47"/>
      <c r="B419" s="268" t="s">
        <v>172</v>
      </c>
      <c r="C419" s="977" t="s">
        <v>182</v>
      </c>
      <c r="D419" s="977"/>
      <c r="E419" s="977"/>
      <c r="F419" s="977"/>
      <c r="G419" s="977"/>
      <c r="H419" s="977"/>
      <c r="I419" s="977"/>
      <c r="J419" s="978"/>
      <c r="K419" s="78"/>
    </row>
    <row r="420" spans="1:11" s="114" customFormat="1" x14ac:dyDescent="0.2">
      <c r="A420" s="269"/>
      <c r="B420" s="989" t="s">
        <v>183</v>
      </c>
      <c r="C420" s="990"/>
      <c r="D420" s="990"/>
      <c r="E420" s="990"/>
      <c r="F420" s="990"/>
      <c r="G420" s="990"/>
      <c r="H420" s="990"/>
      <c r="I420" s="990"/>
      <c r="J420" s="991"/>
      <c r="K420" s="113"/>
    </row>
    <row r="421" spans="1:11" s="114" customFormat="1" ht="76.5" customHeight="1" x14ac:dyDescent="0.2">
      <c r="A421" s="269"/>
      <c r="B421" s="958" t="s">
        <v>184</v>
      </c>
      <c r="C421" s="959"/>
      <c r="D421" s="959"/>
      <c r="E421" s="959"/>
      <c r="F421" s="959"/>
      <c r="G421" s="959"/>
      <c r="H421" s="959"/>
      <c r="I421" s="959"/>
      <c r="J421" s="960"/>
      <c r="K421" s="113"/>
    </row>
    <row r="422" spans="1:11" ht="11.25" customHeight="1" x14ac:dyDescent="0.2">
      <c r="A422" s="47"/>
      <c r="B422" s="270" t="s">
        <v>176</v>
      </c>
      <c r="C422" s="979" t="s">
        <v>185</v>
      </c>
      <c r="D422" s="979"/>
      <c r="E422" s="979"/>
      <c r="F422" s="979"/>
      <c r="G422" s="979"/>
      <c r="H422" s="979"/>
      <c r="I422" s="979"/>
      <c r="J422" s="980"/>
      <c r="K422" s="78"/>
    </row>
    <row r="423" spans="1:11" x14ac:dyDescent="0.2">
      <c r="A423" s="47"/>
      <c r="B423" s="1011" t="s">
        <v>178</v>
      </c>
      <c r="C423" s="1012"/>
      <c r="D423" s="1012"/>
      <c r="E423" s="1012"/>
      <c r="F423" s="47"/>
      <c r="G423" s="271"/>
      <c r="H423" s="271"/>
      <c r="I423" s="271"/>
      <c r="J423" s="272"/>
      <c r="K423" s="78"/>
    </row>
    <row r="424" spans="1:11" x14ac:dyDescent="0.2">
      <c r="A424" s="47"/>
      <c r="B424" s="984" t="s">
        <v>186</v>
      </c>
      <c r="C424" s="985"/>
      <c r="D424" s="255" t="s">
        <v>13</v>
      </c>
      <c r="E424" s="226">
        <v>12000</v>
      </c>
      <c r="F424" s="47"/>
      <c r="G424" s="47"/>
      <c r="H424" s="47"/>
      <c r="I424" s="214" t="s">
        <v>15</v>
      </c>
      <c r="J424" s="273"/>
      <c r="K424" s="112"/>
    </row>
    <row r="425" spans="1:11" ht="12" customHeight="1" x14ac:dyDescent="0.2">
      <c r="A425" s="47"/>
      <c r="B425" s="984" t="s">
        <v>186</v>
      </c>
      <c r="C425" s="985"/>
      <c r="D425" s="255" t="s">
        <v>17</v>
      </c>
      <c r="E425" s="226">
        <v>12000</v>
      </c>
      <c r="F425" s="47"/>
      <c r="G425" s="47"/>
      <c r="H425" s="47"/>
      <c r="I425" s="214" t="s">
        <v>15</v>
      </c>
      <c r="J425" s="273"/>
      <c r="K425" s="112"/>
    </row>
    <row r="426" spans="1:11" x14ac:dyDescent="0.2">
      <c r="A426" s="47"/>
      <c r="B426" s="984" t="s">
        <v>186</v>
      </c>
      <c r="C426" s="985"/>
      <c r="D426" s="255" t="s">
        <v>18</v>
      </c>
      <c r="E426" s="226">
        <v>12000</v>
      </c>
      <c r="F426" s="47"/>
      <c r="G426" s="47"/>
      <c r="H426" s="47"/>
      <c r="I426" s="214" t="s">
        <v>15</v>
      </c>
      <c r="J426" s="273"/>
      <c r="K426" s="112"/>
    </row>
    <row r="427" spans="1:11" x14ac:dyDescent="0.2">
      <c r="A427" s="47"/>
      <c r="B427" s="984" t="s">
        <v>186</v>
      </c>
      <c r="C427" s="985"/>
      <c r="D427" s="255" t="s">
        <v>19</v>
      </c>
      <c r="E427" s="226">
        <v>12000</v>
      </c>
      <c r="F427" s="47"/>
      <c r="G427" s="47"/>
      <c r="H427" s="47"/>
      <c r="I427" s="214" t="s">
        <v>15</v>
      </c>
      <c r="J427" s="273"/>
      <c r="K427" s="112"/>
    </row>
    <row r="428" spans="1:11" x14ac:dyDescent="0.2">
      <c r="A428" s="47"/>
      <c r="B428" s="984" t="s">
        <v>186</v>
      </c>
      <c r="C428" s="985"/>
      <c r="D428" s="255" t="s">
        <v>20</v>
      </c>
      <c r="E428" s="226">
        <v>12000</v>
      </c>
      <c r="F428" s="47"/>
      <c r="G428" s="47"/>
      <c r="H428" s="47"/>
      <c r="I428" s="214" t="s">
        <v>15</v>
      </c>
      <c r="J428" s="273"/>
      <c r="K428" s="112"/>
    </row>
    <row r="429" spans="1:11" ht="12" thickBot="1" x14ac:dyDescent="0.25">
      <c r="A429" s="47"/>
      <c r="B429" s="935" t="s">
        <v>169</v>
      </c>
      <c r="C429" s="936"/>
      <c r="D429" s="936"/>
      <c r="E429" s="257">
        <f>SUBTOTAL(9,E424:E428)</f>
        <v>60000</v>
      </c>
      <c r="F429" s="258"/>
      <c r="G429" s="47"/>
      <c r="H429" s="47"/>
      <c r="I429" s="214"/>
      <c r="J429" s="273"/>
      <c r="K429" s="78"/>
    </row>
    <row r="430" spans="1:11" ht="35.1" customHeight="1" thickTop="1" x14ac:dyDescent="0.2">
      <c r="A430" s="47"/>
      <c r="B430" s="996" t="s">
        <v>187</v>
      </c>
      <c r="C430" s="997"/>
      <c r="D430" s="997"/>
      <c r="E430" s="997"/>
      <c r="F430" s="997"/>
      <c r="G430" s="997"/>
      <c r="H430" s="997"/>
      <c r="I430" s="997"/>
      <c r="J430" s="998"/>
      <c r="K430" s="78"/>
    </row>
    <row r="431" spans="1:11" x14ac:dyDescent="0.2">
      <c r="A431" s="47"/>
      <c r="B431" s="274"/>
      <c r="C431" s="195"/>
      <c r="D431" s="274"/>
      <c r="E431" s="274"/>
      <c r="F431" s="274"/>
      <c r="G431" s="274"/>
      <c r="H431" s="274"/>
      <c r="I431" s="275"/>
      <c r="J431" s="276"/>
    </row>
    <row r="432" spans="1:11" ht="15" customHeight="1" x14ac:dyDescent="0.2">
      <c r="A432" s="47"/>
      <c r="B432" s="277" t="s">
        <v>188</v>
      </c>
      <c r="C432" s="981" t="s">
        <v>189</v>
      </c>
      <c r="D432" s="981"/>
      <c r="E432" s="948" t="s">
        <v>169</v>
      </c>
      <c r="F432" s="948"/>
      <c r="G432" s="278">
        <f>E446</f>
        <v>627903.5</v>
      </c>
      <c r="H432" s="265"/>
      <c r="I432" s="266" t="s">
        <v>190</v>
      </c>
      <c r="J432" s="267"/>
    </row>
    <row r="433" spans="1:11" x14ac:dyDescent="0.2">
      <c r="A433" s="47"/>
      <c r="B433" s="279" t="s">
        <v>191</v>
      </c>
      <c r="C433" s="961" t="s">
        <v>192</v>
      </c>
      <c r="D433" s="961"/>
      <c r="E433" s="961"/>
      <c r="F433" s="961"/>
      <c r="G433" s="961"/>
      <c r="H433" s="961"/>
      <c r="I433" s="961"/>
      <c r="J433" s="962"/>
    </row>
    <row r="434" spans="1:11" ht="42.75" customHeight="1" x14ac:dyDescent="0.2">
      <c r="A434" s="47"/>
      <c r="B434" s="280" t="s">
        <v>193</v>
      </c>
      <c r="C434" s="961"/>
      <c r="D434" s="961"/>
      <c r="E434" s="961"/>
      <c r="F434" s="961"/>
      <c r="G434" s="961"/>
      <c r="H434" s="961"/>
      <c r="I434" s="961"/>
      <c r="J434" s="962"/>
    </row>
    <row r="435" spans="1:11" ht="12" customHeight="1" x14ac:dyDescent="0.2">
      <c r="A435" s="47"/>
      <c r="B435" s="986" t="s">
        <v>194</v>
      </c>
      <c r="C435" s="987"/>
      <c r="D435" s="987"/>
      <c r="E435" s="987"/>
      <c r="F435" s="987"/>
      <c r="G435" s="987"/>
      <c r="H435" s="987"/>
      <c r="I435" s="987"/>
      <c r="J435" s="988"/>
    </row>
    <row r="436" spans="1:11" x14ac:dyDescent="0.2">
      <c r="A436" s="47"/>
      <c r="B436" s="986"/>
      <c r="C436" s="987"/>
      <c r="D436" s="987"/>
      <c r="E436" s="987"/>
      <c r="F436" s="987"/>
      <c r="G436" s="987"/>
      <c r="H436" s="987"/>
      <c r="I436" s="987"/>
      <c r="J436" s="988"/>
    </row>
    <row r="437" spans="1:11" x14ac:dyDescent="0.2">
      <c r="A437" s="47"/>
      <c r="B437" s="281" t="s">
        <v>170</v>
      </c>
      <c r="C437" s="954" t="s">
        <v>181</v>
      </c>
      <c r="D437" s="954"/>
      <c r="E437" s="954"/>
      <c r="F437" s="954"/>
      <c r="G437" s="954"/>
      <c r="H437" s="954"/>
      <c r="I437" s="954"/>
      <c r="J437" s="955"/>
      <c r="K437" s="76"/>
    </row>
    <row r="438" spans="1:11" x14ac:dyDescent="0.2">
      <c r="A438" s="47"/>
      <c r="B438" s="281" t="s">
        <v>172</v>
      </c>
      <c r="C438" s="956" t="s">
        <v>195</v>
      </c>
      <c r="D438" s="956"/>
      <c r="E438" s="956"/>
      <c r="F438" s="956"/>
      <c r="G438" s="956"/>
      <c r="H438" s="956"/>
      <c r="I438" s="956"/>
      <c r="J438" s="957"/>
      <c r="K438" s="76"/>
    </row>
    <row r="439" spans="1:11" s="114" customFormat="1" x14ac:dyDescent="0.2">
      <c r="A439" s="269"/>
      <c r="B439" s="989" t="s">
        <v>174</v>
      </c>
      <c r="C439" s="990"/>
      <c r="D439" s="990"/>
      <c r="E439" s="990"/>
      <c r="F439" s="990"/>
      <c r="G439" s="990"/>
      <c r="H439" s="990"/>
      <c r="I439" s="990"/>
      <c r="J439" s="991"/>
      <c r="K439" s="115"/>
    </row>
    <row r="440" spans="1:11" s="114" customFormat="1" ht="56.25" customHeight="1" x14ac:dyDescent="0.2">
      <c r="A440" s="269"/>
      <c r="B440" s="958" t="s">
        <v>196</v>
      </c>
      <c r="C440" s="959"/>
      <c r="D440" s="959"/>
      <c r="E440" s="959"/>
      <c r="F440" s="959"/>
      <c r="G440" s="959"/>
      <c r="H440" s="959"/>
      <c r="I440" s="959"/>
      <c r="J440" s="960"/>
      <c r="K440" s="115"/>
    </row>
    <row r="441" spans="1:11" x14ac:dyDescent="0.2">
      <c r="A441" s="47"/>
      <c r="B441" s="282" t="s">
        <v>176</v>
      </c>
      <c r="C441" s="941"/>
      <c r="D441" s="941"/>
      <c r="E441" s="941"/>
      <c r="F441" s="941"/>
      <c r="G441" s="941"/>
      <c r="H441" s="941"/>
      <c r="I441" s="941"/>
      <c r="J441" s="942"/>
      <c r="K441" s="76"/>
    </row>
    <row r="442" spans="1:11" x14ac:dyDescent="0.2">
      <c r="A442" s="47"/>
      <c r="B442" s="943" t="s">
        <v>178</v>
      </c>
      <c r="C442" s="944"/>
      <c r="D442" s="944"/>
      <c r="E442" s="944"/>
      <c r="F442" s="283"/>
      <c r="G442" s="283"/>
      <c r="H442" s="283"/>
      <c r="I442" s="214"/>
      <c r="J442" s="273"/>
      <c r="K442" s="76"/>
    </row>
    <row r="443" spans="1:11" x14ac:dyDescent="0.2">
      <c r="A443" s="47" t="s">
        <v>13</v>
      </c>
      <c r="B443" s="950" t="s">
        <v>197</v>
      </c>
      <c r="C443" s="951"/>
      <c r="D443" s="255" t="s">
        <v>13</v>
      </c>
      <c r="E443" s="185">
        <f>111822+150780</f>
        <v>262602</v>
      </c>
      <c r="F443" s="283"/>
      <c r="G443" s="47"/>
      <c r="H443" s="47"/>
      <c r="I443" s="214" t="s">
        <v>26</v>
      </c>
      <c r="J443" s="273"/>
    </row>
    <row r="444" spans="1:11" x14ac:dyDescent="0.2">
      <c r="A444" s="47" t="s">
        <v>17</v>
      </c>
      <c r="B444" s="950" t="s">
        <v>197</v>
      </c>
      <c r="C444" s="951"/>
      <c r="D444" s="255" t="s">
        <v>17</v>
      </c>
      <c r="E444" s="185">
        <v>167747.25</v>
      </c>
      <c r="F444" s="283"/>
      <c r="G444" s="47"/>
      <c r="H444" s="47"/>
      <c r="I444" s="214" t="s">
        <v>26</v>
      </c>
      <c r="J444" s="273"/>
    </row>
    <row r="445" spans="1:11" x14ac:dyDescent="0.2">
      <c r="A445" s="47" t="s">
        <v>18</v>
      </c>
      <c r="B445" s="950" t="s">
        <v>197</v>
      </c>
      <c r="C445" s="951"/>
      <c r="D445" s="255" t="s">
        <v>18</v>
      </c>
      <c r="E445" s="185">
        <v>197554.25</v>
      </c>
      <c r="F445" s="283"/>
      <c r="G445" s="47"/>
      <c r="H445" s="47"/>
      <c r="I445" s="214" t="s">
        <v>26</v>
      </c>
      <c r="J445" s="273"/>
    </row>
    <row r="446" spans="1:11" ht="12" thickBot="1" x14ac:dyDescent="0.25">
      <c r="A446" s="47"/>
      <c r="B446" s="952" t="s">
        <v>169</v>
      </c>
      <c r="C446" s="953"/>
      <c r="D446" s="953"/>
      <c r="E446" s="284">
        <f>SUBTOTAL(9,E443:E445)</f>
        <v>627903.5</v>
      </c>
      <c r="F446" s="222"/>
      <c r="G446" s="47"/>
      <c r="H446" s="47"/>
      <c r="I446" s="214"/>
      <c r="J446" s="273"/>
      <c r="K446" s="78"/>
    </row>
    <row r="447" spans="1:11" ht="33.75" customHeight="1" thickTop="1" x14ac:dyDescent="0.2">
      <c r="A447" s="47"/>
      <c r="B447" s="996" t="s">
        <v>198</v>
      </c>
      <c r="C447" s="997"/>
      <c r="D447" s="997"/>
      <c r="E447" s="997"/>
      <c r="F447" s="997"/>
      <c r="G447" s="997"/>
      <c r="H447" s="997"/>
      <c r="I447" s="997"/>
      <c r="J447" s="998"/>
      <c r="K447" s="78"/>
    </row>
    <row r="448" spans="1:11" x14ac:dyDescent="0.2">
      <c r="A448" s="47"/>
      <c r="B448" s="274"/>
      <c r="C448" s="195"/>
      <c r="D448" s="274"/>
      <c r="E448" s="274"/>
      <c r="F448" s="274"/>
      <c r="G448" s="274"/>
      <c r="H448" s="274"/>
      <c r="I448" s="275"/>
      <c r="J448" s="276"/>
    </row>
    <row r="449" spans="1:11" ht="12" customHeight="1" x14ac:dyDescent="0.2">
      <c r="A449" s="47"/>
      <c r="B449" s="285" t="s">
        <v>167</v>
      </c>
      <c r="C449" s="947" t="s">
        <v>199</v>
      </c>
      <c r="D449" s="947"/>
      <c r="E449" s="949" t="s">
        <v>169</v>
      </c>
      <c r="F449" s="949"/>
      <c r="G449" s="286">
        <f>E466</f>
        <v>53145</v>
      </c>
      <c r="H449" s="287"/>
      <c r="I449" s="288" t="s">
        <v>15</v>
      </c>
      <c r="J449" s="289"/>
      <c r="K449" s="78"/>
    </row>
    <row r="450" spans="1:11" x14ac:dyDescent="0.2">
      <c r="A450" s="47"/>
      <c r="B450" s="964" t="s">
        <v>200</v>
      </c>
      <c r="C450" s="1082"/>
      <c r="D450" s="1082"/>
      <c r="E450" s="1082"/>
      <c r="F450" s="290"/>
      <c r="G450" s="290"/>
      <c r="H450" s="290"/>
      <c r="I450" s="290"/>
      <c r="J450" s="291"/>
      <c r="K450" s="78"/>
    </row>
    <row r="451" spans="1:11" ht="12" customHeight="1" x14ac:dyDescent="0.2">
      <c r="A451" s="47"/>
      <c r="B451" s="1063" t="s">
        <v>201</v>
      </c>
      <c r="C451" s="1064"/>
      <c r="D451" s="1064"/>
      <c r="E451" s="246"/>
      <c r="F451" s="246"/>
      <c r="G451" s="246"/>
      <c r="H451" s="292"/>
      <c r="I451" s="293"/>
      <c r="J451" s="294"/>
      <c r="K451" s="78"/>
    </row>
    <row r="452" spans="1:11" x14ac:dyDescent="0.2">
      <c r="A452" s="47"/>
      <c r="B452" s="192" t="s">
        <v>202</v>
      </c>
      <c r="C452" s="939"/>
      <c r="D452" s="939"/>
      <c r="E452" s="939"/>
      <c r="F452" s="939"/>
      <c r="G452" s="939"/>
      <c r="H452" s="939"/>
      <c r="I452" s="939"/>
      <c r="J452" s="940"/>
      <c r="K452" s="78"/>
    </row>
    <row r="453" spans="1:11" ht="44.25" customHeight="1" x14ac:dyDescent="0.2">
      <c r="A453" s="47"/>
      <c r="B453" s="938" t="s">
        <v>203</v>
      </c>
      <c r="C453" s="939"/>
      <c r="D453" s="939"/>
      <c r="E453" s="939"/>
      <c r="F453" s="939"/>
      <c r="G453" s="939"/>
      <c r="H453" s="939"/>
      <c r="I453" s="939"/>
      <c r="J453" s="940"/>
      <c r="K453" s="78"/>
    </row>
    <row r="454" spans="1:11" x14ac:dyDescent="0.2">
      <c r="A454" s="47"/>
      <c r="B454" s="295" t="s">
        <v>176</v>
      </c>
      <c r="C454" s="941" t="s">
        <v>204</v>
      </c>
      <c r="D454" s="941"/>
      <c r="E454" s="941"/>
      <c r="F454" s="941"/>
      <c r="G454" s="941"/>
      <c r="H454" s="941"/>
      <c r="I454" s="941"/>
      <c r="J454" s="942"/>
      <c r="K454" s="78"/>
    </row>
    <row r="455" spans="1:11" x14ac:dyDescent="0.2">
      <c r="A455" s="47"/>
      <c r="B455" s="945" t="s">
        <v>178</v>
      </c>
      <c r="C455" s="946"/>
      <c r="D455" s="946"/>
      <c r="E455" s="946"/>
      <c r="F455" s="283"/>
      <c r="G455" s="283"/>
      <c r="H455" s="283"/>
      <c r="I455" s="214"/>
      <c r="J455" s="273"/>
      <c r="K455" s="78"/>
    </row>
    <row r="456" spans="1:11" ht="11.25" customHeight="1" x14ac:dyDescent="0.2">
      <c r="A456" s="47" t="s">
        <v>13</v>
      </c>
      <c r="B456" s="296" t="s">
        <v>205</v>
      </c>
      <c r="C456" s="212"/>
      <c r="D456" s="283"/>
      <c r="E456" s="297">
        <f>51145/5</f>
        <v>10229</v>
      </c>
      <c r="F456" s="283"/>
      <c r="G456" s="283"/>
      <c r="H456" s="226"/>
      <c r="I456" s="214" t="s">
        <v>15</v>
      </c>
      <c r="J456" s="273"/>
      <c r="K456" s="78"/>
    </row>
    <row r="457" spans="1:11" x14ac:dyDescent="0.2">
      <c r="A457" s="47" t="s">
        <v>13</v>
      </c>
      <c r="B457" s="296" t="s">
        <v>206</v>
      </c>
      <c r="C457" s="212"/>
      <c r="D457" s="283"/>
      <c r="E457" s="298">
        <v>400</v>
      </c>
      <c r="F457" s="283"/>
      <c r="G457" s="283"/>
      <c r="H457" s="226"/>
      <c r="I457" s="214" t="s">
        <v>15</v>
      </c>
      <c r="J457" s="273"/>
      <c r="K457" s="78"/>
    </row>
    <row r="458" spans="1:11" ht="11.25" customHeight="1" x14ac:dyDescent="0.2">
      <c r="A458" s="47" t="s">
        <v>17</v>
      </c>
      <c r="B458" s="296" t="s">
        <v>205</v>
      </c>
      <c r="C458" s="212"/>
      <c r="D458" s="283"/>
      <c r="E458" s="297">
        <f>51145/5</f>
        <v>10229</v>
      </c>
      <c r="F458" s="283"/>
      <c r="G458" s="283"/>
      <c r="H458" s="226"/>
      <c r="I458" s="214" t="s">
        <v>15</v>
      </c>
      <c r="J458" s="273"/>
      <c r="K458" s="78"/>
    </row>
    <row r="459" spans="1:11" x14ac:dyDescent="0.2">
      <c r="A459" s="47" t="s">
        <v>17</v>
      </c>
      <c r="B459" s="296" t="s">
        <v>206</v>
      </c>
      <c r="C459" s="212"/>
      <c r="D459" s="283"/>
      <c r="E459" s="298">
        <v>400</v>
      </c>
      <c r="F459" s="283"/>
      <c r="G459" s="283"/>
      <c r="H459" s="226"/>
      <c r="I459" s="214" t="s">
        <v>15</v>
      </c>
      <c r="J459" s="273"/>
      <c r="K459" s="78"/>
    </row>
    <row r="460" spans="1:11" ht="11.25" customHeight="1" x14ac:dyDescent="0.2">
      <c r="A460" s="47" t="s">
        <v>18</v>
      </c>
      <c r="B460" s="296" t="s">
        <v>205</v>
      </c>
      <c r="C460" s="212"/>
      <c r="D460" s="283"/>
      <c r="E460" s="297">
        <f>51145/5</f>
        <v>10229</v>
      </c>
      <c r="F460" s="283"/>
      <c r="G460" s="283"/>
      <c r="H460" s="226"/>
      <c r="I460" s="214" t="s">
        <v>15</v>
      </c>
      <c r="J460" s="273"/>
      <c r="K460" s="78"/>
    </row>
    <row r="461" spans="1:11" x14ac:dyDescent="0.2">
      <c r="A461" s="47" t="s">
        <v>18</v>
      </c>
      <c r="B461" s="296" t="s">
        <v>206</v>
      </c>
      <c r="C461" s="212"/>
      <c r="D461" s="283"/>
      <c r="E461" s="298">
        <v>400</v>
      </c>
      <c r="F461" s="283"/>
      <c r="G461" s="283"/>
      <c r="H461" s="226"/>
      <c r="I461" s="214" t="s">
        <v>15</v>
      </c>
      <c r="J461" s="273"/>
      <c r="K461" s="78"/>
    </row>
    <row r="462" spans="1:11" ht="11.25" customHeight="1" x14ac:dyDescent="0.2">
      <c r="A462" s="47" t="s">
        <v>19</v>
      </c>
      <c r="B462" s="296" t="s">
        <v>205</v>
      </c>
      <c r="C462" s="212"/>
      <c r="D462" s="283"/>
      <c r="E462" s="297">
        <f>51145/5</f>
        <v>10229</v>
      </c>
      <c r="F462" s="283"/>
      <c r="G462" s="283"/>
      <c r="H462" s="226"/>
      <c r="I462" s="214" t="s">
        <v>15</v>
      </c>
      <c r="J462" s="273"/>
      <c r="K462" s="78"/>
    </row>
    <row r="463" spans="1:11" x14ac:dyDescent="0.2">
      <c r="A463" s="47" t="s">
        <v>19</v>
      </c>
      <c r="B463" s="296" t="s">
        <v>206</v>
      </c>
      <c r="C463" s="212"/>
      <c r="D463" s="283"/>
      <c r="E463" s="298">
        <v>400</v>
      </c>
      <c r="F463" s="283"/>
      <c r="G463" s="283"/>
      <c r="H463" s="226"/>
      <c r="I463" s="214" t="s">
        <v>15</v>
      </c>
      <c r="J463" s="273"/>
      <c r="K463" s="78"/>
    </row>
    <row r="464" spans="1:11" ht="11.25" customHeight="1" x14ac:dyDescent="0.2">
      <c r="A464" s="47" t="s">
        <v>19</v>
      </c>
      <c r="B464" s="296" t="s">
        <v>205</v>
      </c>
      <c r="C464" s="212"/>
      <c r="D464" s="283"/>
      <c r="E464" s="297">
        <f>51145/5</f>
        <v>10229</v>
      </c>
      <c r="F464" s="283"/>
      <c r="G464" s="283"/>
      <c r="H464" s="226"/>
      <c r="I464" s="214" t="s">
        <v>15</v>
      </c>
      <c r="J464" s="273"/>
      <c r="K464" s="78"/>
    </row>
    <row r="465" spans="1:12" x14ac:dyDescent="0.2">
      <c r="A465" s="47" t="s">
        <v>19</v>
      </c>
      <c r="B465" s="296" t="s">
        <v>206</v>
      </c>
      <c r="C465" s="212"/>
      <c r="D465" s="283"/>
      <c r="E465" s="298">
        <v>400</v>
      </c>
      <c r="F465" s="283"/>
      <c r="G465" s="283"/>
      <c r="H465" s="226"/>
      <c r="I465" s="214" t="s">
        <v>15</v>
      </c>
      <c r="J465" s="273"/>
      <c r="K465" s="78"/>
    </row>
    <row r="466" spans="1:12" ht="12" thickBot="1" x14ac:dyDescent="0.25">
      <c r="A466" s="47"/>
      <c r="B466" s="299" t="s">
        <v>169</v>
      </c>
      <c r="C466" s="300"/>
      <c r="D466" s="301"/>
      <c r="E466" s="302">
        <f>SUBTOTAL(9,E456:E465)</f>
        <v>53145</v>
      </c>
      <c r="F466" s="283"/>
      <c r="G466" s="283"/>
      <c r="H466" s="283"/>
      <c r="I466" s="214"/>
      <c r="J466" s="273"/>
      <c r="K466" s="78"/>
    </row>
    <row r="467" spans="1:12" ht="24.95" customHeight="1" thickTop="1" x14ac:dyDescent="0.2">
      <c r="A467" s="47"/>
      <c r="B467" s="1054" t="s">
        <v>207</v>
      </c>
      <c r="C467" s="1055"/>
      <c r="D467" s="1055"/>
      <c r="E467" s="1055"/>
      <c r="F467" s="1055"/>
      <c r="G467" s="1055"/>
      <c r="H467" s="1055"/>
      <c r="I467" s="1055"/>
      <c r="J467" s="1084"/>
      <c r="K467" s="78"/>
    </row>
    <row r="468" spans="1:12" x14ac:dyDescent="0.2">
      <c r="A468" s="47"/>
      <c r="B468" s="274"/>
      <c r="C468" s="195"/>
      <c r="D468" s="274"/>
      <c r="E468" s="274"/>
      <c r="F468" s="274"/>
      <c r="G468" s="274"/>
      <c r="H468" s="274"/>
      <c r="I468" s="275"/>
      <c r="J468" s="276"/>
    </row>
    <row r="469" spans="1:12" x14ac:dyDescent="0.2">
      <c r="A469" s="47"/>
      <c r="B469" s="303" t="s">
        <v>167</v>
      </c>
      <c r="C469" s="966" t="s">
        <v>199</v>
      </c>
      <c r="D469" s="966"/>
      <c r="E469" s="949" t="s">
        <v>169</v>
      </c>
      <c r="F469" s="949"/>
      <c r="G469" s="286">
        <f>E480</f>
        <v>116152</v>
      </c>
      <c r="H469" s="287"/>
      <c r="I469" s="288" t="s">
        <v>15</v>
      </c>
      <c r="J469" s="289"/>
      <c r="K469" s="78"/>
      <c r="L469" s="111">
        <f>165000-116152</f>
        <v>48848</v>
      </c>
    </row>
    <row r="470" spans="1:12" x14ac:dyDescent="0.2">
      <c r="A470" s="47"/>
      <c r="B470" s="304" t="s">
        <v>208</v>
      </c>
      <c r="C470" s="305"/>
      <c r="D470" s="305"/>
      <c r="E470" s="305"/>
      <c r="F470" s="1039"/>
      <c r="G470" s="1039"/>
      <c r="H470" s="1039"/>
      <c r="I470" s="1039"/>
      <c r="J470" s="1040"/>
    </row>
    <row r="471" spans="1:12" ht="12" customHeight="1" x14ac:dyDescent="0.2">
      <c r="A471" s="47"/>
      <c r="B471" s="1063" t="s">
        <v>209</v>
      </c>
      <c r="C471" s="1064"/>
      <c r="D471" s="1064"/>
      <c r="E471" s="246"/>
      <c r="F471" s="306"/>
      <c r="G471" s="246"/>
      <c r="H471" s="292"/>
      <c r="I471" s="293"/>
      <c r="J471" s="294"/>
      <c r="K471" s="78"/>
    </row>
    <row r="472" spans="1:12" ht="47.25" customHeight="1" x14ac:dyDescent="0.2">
      <c r="A472" s="47"/>
      <c r="B472" s="945" t="s">
        <v>210</v>
      </c>
      <c r="C472" s="946"/>
      <c r="D472" s="946"/>
      <c r="E472" s="946"/>
      <c r="F472" s="946"/>
      <c r="G472" s="946"/>
      <c r="H472" s="946"/>
      <c r="I472" s="214"/>
      <c r="J472" s="273"/>
      <c r="K472" s="78"/>
    </row>
    <row r="473" spans="1:12" x14ac:dyDescent="0.2">
      <c r="A473" s="47"/>
      <c r="B473" s="1062" t="s">
        <v>211</v>
      </c>
      <c r="C473" s="1083"/>
      <c r="D473" s="1083"/>
      <c r="E473" s="1083"/>
      <c r="F473" s="1083"/>
      <c r="G473" s="1083"/>
      <c r="H473" s="1083"/>
      <c r="I473" s="214"/>
      <c r="J473" s="273"/>
      <c r="K473" s="79"/>
    </row>
    <row r="474" spans="1:12" x14ac:dyDescent="0.2">
      <c r="A474" s="47"/>
      <c r="B474" s="307" t="s">
        <v>178</v>
      </c>
      <c r="C474" s="212"/>
      <c r="D474" s="283"/>
      <c r="E474" s="283"/>
      <c r="F474" s="283"/>
      <c r="G474" s="283"/>
      <c r="H474" s="283"/>
      <c r="I474" s="214"/>
      <c r="J474" s="273"/>
    </row>
    <row r="475" spans="1:12" x14ac:dyDescent="0.2">
      <c r="A475" s="47"/>
      <c r="B475" s="296" t="s">
        <v>212</v>
      </c>
      <c r="C475" s="47"/>
      <c r="D475" s="255" t="s">
        <v>13</v>
      </c>
      <c r="E475" s="308">
        <f>22000-9770</f>
        <v>12230</v>
      </c>
      <c r="F475" s="283"/>
      <c r="G475" s="283"/>
      <c r="H475" s="226"/>
      <c r="I475" s="293" t="s">
        <v>15</v>
      </c>
      <c r="J475" s="273"/>
    </row>
    <row r="476" spans="1:12" x14ac:dyDescent="0.2">
      <c r="A476" s="47"/>
      <c r="B476" s="296" t="s">
        <v>212</v>
      </c>
      <c r="C476" s="47"/>
      <c r="D476" s="255" t="s">
        <v>17</v>
      </c>
      <c r="E476" s="308">
        <f>37000-6770</f>
        <v>30230</v>
      </c>
      <c r="F476" s="283"/>
      <c r="G476" s="283"/>
      <c r="H476" s="226"/>
      <c r="I476" s="293" t="s">
        <v>15</v>
      </c>
      <c r="J476" s="273"/>
    </row>
    <row r="477" spans="1:12" x14ac:dyDescent="0.2">
      <c r="A477" s="47"/>
      <c r="B477" s="296" t="s">
        <v>212</v>
      </c>
      <c r="C477" s="47"/>
      <c r="D477" s="255" t="s">
        <v>18</v>
      </c>
      <c r="E477" s="308">
        <f>30000-9770</f>
        <v>20230</v>
      </c>
      <c r="F477" s="283"/>
      <c r="G477" s="283"/>
      <c r="H477" s="226"/>
      <c r="I477" s="293" t="s">
        <v>15</v>
      </c>
      <c r="J477" s="273"/>
    </row>
    <row r="478" spans="1:12" x14ac:dyDescent="0.2">
      <c r="A478" s="47"/>
      <c r="B478" s="296" t="s">
        <v>212</v>
      </c>
      <c r="C478" s="47"/>
      <c r="D478" s="255" t="s">
        <v>19</v>
      </c>
      <c r="E478" s="308">
        <f>36300-9770</f>
        <v>26530</v>
      </c>
      <c r="F478" s="283"/>
      <c r="G478" s="283"/>
      <c r="H478" s="226"/>
      <c r="I478" s="293" t="s">
        <v>15</v>
      </c>
      <c r="J478" s="273"/>
    </row>
    <row r="479" spans="1:12" x14ac:dyDescent="0.2">
      <c r="A479" s="47"/>
      <c r="B479" s="296" t="s">
        <v>212</v>
      </c>
      <c r="C479" s="47"/>
      <c r="D479" s="255" t="s">
        <v>20</v>
      </c>
      <c r="E479" s="308">
        <f>36700-9768</f>
        <v>26932</v>
      </c>
      <c r="F479" s="283"/>
      <c r="G479" s="283"/>
      <c r="H479" s="226"/>
      <c r="I479" s="293" t="s">
        <v>15</v>
      </c>
      <c r="J479" s="273"/>
    </row>
    <row r="480" spans="1:12" ht="12" thickBot="1" x14ac:dyDescent="0.25">
      <c r="A480" s="47"/>
      <c r="B480" s="299" t="s">
        <v>169</v>
      </c>
      <c r="C480" s="300"/>
      <c r="D480" s="301"/>
      <c r="E480" s="302">
        <f>SUBTOTAL(9,E475:E479)</f>
        <v>116152</v>
      </c>
      <c r="F480" s="283"/>
      <c r="G480" s="283"/>
      <c r="H480" s="283"/>
      <c r="I480" s="214"/>
      <c r="J480" s="273"/>
    </row>
    <row r="481" spans="1:11" ht="12.75" customHeight="1" thickTop="1" x14ac:dyDescent="0.2">
      <c r="A481" s="47"/>
      <c r="B481" s="309" t="s">
        <v>213</v>
      </c>
      <c r="C481" s="310" t="s">
        <v>214</v>
      </c>
      <c r="D481" s="311"/>
      <c r="E481" s="311"/>
      <c r="F481" s="311"/>
      <c r="G481" s="311"/>
      <c r="H481" s="311"/>
      <c r="I481" s="210"/>
      <c r="J481" s="312"/>
    </row>
    <row r="482" spans="1:11" x14ac:dyDescent="0.2">
      <c r="A482" s="47"/>
      <c r="B482" s="274"/>
      <c r="C482" s="195"/>
      <c r="D482" s="274"/>
      <c r="E482" s="274"/>
      <c r="F482" s="274"/>
      <c r="G482" s="274"/>
      <c r="H482" s="274"/>
      <c r="I482" s="275"/>
      <c r="J482" s="276"/>
    </row>
    <row r="483" spans="1:11" x14ac:dyDescent="0.2">
      <c r="A483" s="47"/>
      <c r="B483" s="1065" t="s">
        <v>215</v>
      </c>
      <c r="C483" s="1066"/>
      <c r="D483" s="313"/>
      <c r="E483" s="314" t="s">
        <v>216</v>
      </c>
      <c r="F483" s="286">
        <f>SUM(E490+L483+N483+P483+R483)</f>
        <v>57510</v>
      </c>
      <c r="G483" s="286"/>
      <c r="H483" s="287"/>
      <c r="I483" s="288" t="s">
        <v>15</v>
      </c>
      <c r="J483" s="289"/>
    </row>
    <row r="484" spans="1:11" x14ac:dyDescent="0.2">
      <c r="A484" s="47"/>
      <c r="B484" s="304" t="s">
        <v>217</v>
      </c>
      <c r="C484" s="1067" t="s">
        <v>218</v>
      </c>
      <c r="D484" s="1067"/>
      <c r="E484" s="1067"/>
      <c r="F484" s="1067"/>
      <c r="G484" s="1067"/>
      <c r="H484" s="1067"/>
      <c r="I484" s="1067"/>
      <c r="J484" s="1068"/>
    </row>
    <row r="485" spans="1:11" ht="12" customHeight="1" x14ac:dyDescent="0.2">
      <c r="A485" s="47"/>
      <c r="B485" s="304" t="s">
        <v>172</v>
      </c>
      <c r="C485" s="1067" t="s">
        <v>219</v>
      </c>
      <c r="D485" s="1067"/>
      <c r="E485" s="1067"/>
      <c r="F485" s="1067"/>
      <c r="G485" s="1067"/>
      <c r="H485" s="1067"/>
      <c r="I485" s="1067"/>
      <c r="J485" s="1068"/>
    </row>
    <row r="486" spans="1:11" ht="38.1" customHeight="1" x14ac:dyDescent="0.2">
      <c r="A486" s="47"/>
      <c r="B486" s="945" t="s">
        <v>220</v>
      </c>
      <c r="C486" s="946"/>
      <c r="D486" s="946"/>
      <c r="E486" s="946"/>
      <c r="F486" s="946"/>
      <c r="G486" s="946"/>
      <c r="H486" s="946"/>
      <c r="I486" s="946"/>
      <c r="J486" s="1069"/>
    </row>
    <row r="487" spans="1:11" x14ac:dyDescent="0.2">
      <c r="A487" s="47"/>
      <c r="B487" s="315" t="s">
        <v>211</v>
      </c>
      <c r="C487" s="1070"/>
      <c r="D487" s="1070"/>
      <c r="E487" s="1070"/>
      <c r="F487" s="1070"/>
      <c r="G487" s="1070"/>
      <c r="H487" s="1070"/>
      <c r="I487" s="1070"/>
      <c r="J487" s="1071"/>
    </row>
    <row r="488" spans="1:11" x14ac:dyDescent="0.2">
      <c r="A488" s="47"/>
      <c r="B488" s="307" t="s">
        <v>178</v>
      </c>
      <c r="C488" s="212"/>
      <c r="D488" s="283"/>
      <c r="E488" s="283"/>
      <c r="F488" s="283"/>
      <c r="G488" s="283"/>
      <c r="H488" s="283"/>
      <c r="I488" s="214"/>
      <c r="J488" s="273"/>
    </row>
    <row r="489" spans="1:11" x14ac:dyDescent="0.2">
      <c r="A489" s="47"/>
      <c r="B489" s="296" t="s">
        <v>221</v>
      </c>
      <c r="C489" s="212"/>
      <c r="D489" s="283"/>
      <c r="E489" s="226">
        <v>57510</v>
      </c>
      <c r="F489" s="283"/>
      <c r="G489" s="283"/>
      <c r="H489" s="226">
        <v>57510</v>
      </c>
      <c r="I489" s="214" t="s">
        <v>15</v>
      </c>
      <c r="J489" s="273"/>
    </row>
    <row r="490" spans="1:11" ht="12" thickBot="1" x14ac:dyDescent="0.25">
      <c r="A490" s="47"/>
      <c r="B490" s="299" t="s">
        <v>169</v>
      </c>
      <c r="C490" s="300"/>
      <c r="D490" s="301"/>
      <c r="E490" s="316">
        <f>SUBTOTAL(9,E489)</f>
        <v>57510</v>
      </c>
      <c r="F490" s="283"/>
      <c r="G490" s="283"/>
      <c r="H490" s="283"/>
      <c r="I490" s="214"/>
      <c r="J490" s="273"/>
    </row>
    <row r="491" spans="1:11" ht="12.75" customHeight="1" thickTop="1" x14ac:dyDescent="0.2">
      <c r="A491" s="47"/>
      <c r="B491" s="309" t="s">
        <v>213</v>
      </c>
      <c r="C491" s="1055" t="s">
        <v>214</v>
      </c>
      <c r="D491" s="1055"/>
      <c r="E491" s="1055"/>
      <c r="F491" s="1055"/>
      <c r="G491" s="1055"/>
      <c r="H491" s="1055"/>
      <c r="I491" s="1055"/>
      <c r="J491" s="1084"/>
    </row>
    <row r="492" spans="1:11" x14ac:dyDescent="0.2">
      <c r="A492" s="47"/>
      <c r="B492" s="274"/>
      <c r="C492" s="195"/>
      <c r="D492" s="274"/>
      <c r="E492" s="274"/>
      <c r="F492" s="274"/>
      <c r="G492" s="274"/>
      <c r="H492" s="274"/>
      <c r="I492" s="275"/>
      <c r="J492" s="276"/>
    </row>
    <row r="493" spans="1:11" x14ac:dyDescent="0.2">
      <c r="A493" s="47"/>
      <c r="B493" s="1072" t="s">
        <v>222</v>
      </c>
      <c r="C493" s="1073"/>
      <c r="D493" s="318"/>
      <c r="E493" s="173" t="s">
        <v>216</v>
      </c>
      <c r="F493" s="420">
        <f>SUM(E504+L493+N493+P493+R493)</f>
        <v>44400</v>
      </c>
      <c r="G493" s="420"/>
      <c r="H493" s="421"/>
      <c r="I493" s="422" t="s">
        <v>26</v>
      </c>
      <c r="J493" s="423"/>
    </row>
    <row r="494" spans="1:11" x14ac:dyDescent="0.2">
      <c r="A494" s="47"/>
      <c r="B494" s="1037" t="s">
        <v>208</v>
      </c>
      <c r="C494" s="1038"/>
      <c r="D494" s="1038"/>
      <c r="E494" s="1038"/>
      <c r="F494" s="330"/>
      <c r="G494" s="330"/>
      <c r="H494" s="332"/>
      <c r="I494" s="424"/>
      <c r="J494" s="425"/>
      <c r="K494" s="116"/>
    </row>
    <row r="495" spans="1:11" x14ac:dyDescent="0.2">
      <c r="A495" s="47"/>
      <c r="B495" s="1037" t="s">
        <v>223</v>
      </c>
      <c r="C495" s="1038"/>
      <c r="D495" s="1038"/>
      <c r="E495" s="330"/>
      <c r="F495" s="330"/>
      <c r="G495" s="330"/>
      <c r="H495" s="332"/>
      <c r="I495" s="424"/>
      <c r="J495" s="425"/>
    </row>
    <row r="496" spans="1:11" ht="38.1" customHeight="1" x14ac:dyDescent="0.2">
      <c r="A496" s="47"/>
      <c r="B496" s="1076" t="s">
        <v>224</v>
      </c>
      <c r="C496" s="1077"/>
      <c r="D496" s="1077"/>
      <c r="E496" s="1077"/>
      <c r="F496" s="1077"/>
      <c r="G496" s="1077"/>
      <c r="H496" s="1077"/>
      <c r="I496" s="1077"/>
      <c r="J496" s="1078"/>
    </row>
    <row r="497" spans="1:10" x14ac:dyDescent="0.2">
      <c r="A497" s="47"/>
      <c r="B497" s="426" t="s">
        <v>211</v>
      </c>
      <c r="C497" s="1060"/>
      <c r="D497" s="1060"/>
      <c r="E497" s="1060"/>
      <c r="F497" s="1060"/>
      <c r="G497" s="1060"/>
      <c r="H497" s="1060"/>
      <c r="I497" s="1060"/>
      <c r="J497" s="1061"/>
    </row>
    <row r="498" spans="1:10" x14ac:dyDescent="0.2">
      <c r="A498" s="47"/>
      <c r="B498" s="427" t="s">
        <v>178</v>
      </c>
      <c r="C498" s="428"/>
      <c r="D498" s="429"/>
      <c r="E498" s="429"/>
      <c r="F498" s="429"/>
      <c r="G498" s="429"/>
      <c r="H498" s="429"/>
      <c r="I498" s="430"/>
      <c r="J498" s="431"/>
    </row>
    <row r="499" spans="1:10" x14ac:dyDescent="0.2">
      <c r="A499" s="47" t="s">
        <v>13</v>
      </c>
      <c r="B499" s="432" t="s">
        <v>225</v>
      </c>
      <c r="C499" s="428"/>
      <c r="D499" s="433"/>
      <c r="E499" s="434">
        <v>8700</v>
      </c>
      <c r="F499" s="429"/>
      <c r="G499" s="429"/>
      <c r="H499" s="434"/>
      <c r="I499" s="430" t="s">
        <v>26</v>
      </c>
      <c r="J499" s="431"/>
    </row>
    <row r="500" spans="1:10" x14ac:dyDescent="0.2">
      <c r="A500" s="47" t="s">
        <v>17</v>
      </c>
      <c r="B500" s="432" t="s">
        <v>225</v>
      </c>
      <c r="C500" s="428"/>
      <c r="D500" s="433"/>
      <c r="E500" s="434">
        <v>8700</v>
      </c>
      <c r="F500" s="429"/>
      <c r="G500" s="429"/>
      <c r="H500" s="434"/>
      <c r="I500" s="430" t="s">
        <v>26</v>
      </c>
      <c r="J500" s="431"/>
    </row>
    <row r="501" spans="1:10" x14ac:dyDescent="0.2">
      <c r="A501" s="47" t="s">
        <v>18</v>
      </c>
      <c r="B501" s="432" t="s">
        <v>225</v>
      </c>
      <c r="C501" s="428"/>
      <c r="D501" s="433"/>
      <c r="E501" s="434">
        <v>8800</v>
      </c>
      <c r="F501" s="429"/>
      <c r="G501" s="429"/>
      <c r="H501" s="434"/>
      <c r="I501" s="430" t="s">
        <v>26</v>
      </c>
      <c r="J501" s="431"/>
    </row>
    <row r="502" spans="1:10" x14ac:dyDescent="0.2">
      <c r="A502" s="47" t="s">
        <v>19</v>
      </c>
      <c r="B502" s="432" t="s">
        <v>225</v>
      </c>
      <c r="C502" s="428"/>
      <c r="D502" s="433"/>
      <c r="E502" s="434">
        <v>8900</v>
      </c>
      <c r="F502" s="429"/>
      <c r="G502" s="429"/>
      <c r="H502" s="434"/>
      <c r="I502" s="430" t="s">
        <v>26</v>
      </c>
      <c r="J502" s="431"/>
    </row>
    <row r="503" spans="1:10" x14ac:dyDescent="0.2">
      <c r="A503" s="47" t="s">
        <v>20</v>
      </c>
      <c r="B503" s="432" t="s">
        <v>225</v>
      </c>
      <c r="C503" s="428"/>
      <c r="D503" s="433"/>
      <c r="E503" s="434">
        <v>9300</v>
      </c>
      <c r="F503" s="429"/>
      <c r="G503" s="429"/>
      <c r="H503" s="434"/>
      <c r="I503" s="430" t="s">
        <v>26</v>
      </c>
      <c r="J503" s="431"/>
    </row>
    <row r="504" spans="1:10" ht="12" thickBot="1" x14ac:dyDescent="0.25">
      <c r="A504" s="47"/>
      <c r="B504" s="335" t="s">
        <v>169</v>
      </c>
      <c r="C504" s="435"/>
      <c r="D504" s="436"/>
      <c r="E504" s="336">
        <f>SUBTOTAL(9,E499:E503)</f>
        <v>44400</v>
      </c>
      <c r="F504" s="429"/>
      <c r="G504" s="429"/>
      <c r="H504" s="429"/>
      <c r="I504" s="430"/>
      <c r="J504" s="431"/>
    </row>
    <row r="505" spans="1:10" ht="30" customHeight="1" thickTop="1" x14ac:dyDescent="0.2">
      <c r="A505" s="47"/>
      <c r="B505" s="1035" t="s">
        <v>226</v>
      </c>
      <c r="C505" s="1036"/>
      <c r="D505" s="1036"/>
      <c r="E505" s="1036"/>
      <c r="F505" s="1036"/>
      <c r="G505" s="1036"/>
      <c r="H505" s="1036"/>
      <c r="I505" s="437"/>
      <c r="J505" s="438"/>
    </row>
    <row r="506" spans="1:10" x14ac:dyDescent="0.2">
      <c r="A506" s="47"/>
      <c r="B506" s="274"/>
      <c r="C506" s="195"/>
      <c r="D506" s="274"/>
      <c r="E506" s="274"/>
      <c r="F506" s="274"/>
      <c r="G506" s="274"/>
      <c r="H506" s="274"/>
      <c r="I506" s="275"/>
      <c r="J506" s="276"/>
    </row>
    <row r="507" spans="1:10" x14ac:dyDescent="0.2">
      <c r="A507" s="47"/>
      <c r="B507" s="1072" t="s">
        <v>227</v>
      </c>
      <c r="C507" s="1073"/>
      <c r="D507" s="318"/>
      <c r="E507" s="173" t="s">
        <v>216</v>
      </c>
      <c r="F507" s="439">
        <f>E514</f>
        <v>108000</v>
      </c>
      <c r="G507" s="420"/>
      <c r="H507" s="421"/>
      <c r="I507" s="422" t="s">
        <v>15</v>
      </c>
      <c r="J507" s="423"/>
    </row>
    <row r="508" spans="1:10" x14ac:dyDescent="0.2">
      <c r="A508" s="47"/>
      <c r="B508" s="1037" t="s">
        <v>208</v>
      </c>
      <c r="C508" s="1038"/>
      <c r="D508" s="1038"/>
      <c r="E508" s="1038"/>
      <c r="F508" s="330"/>
      <c r="G508" s="330"/>
      <c r="H508" s="332"/>
      <c r="I508" s="424"/>
      <c r="J508" s="425"/>
    </row>
    <row r="509" spans="1:10" x14ac:dyDescent="0.2">
      <c r="A509" s="47"/>
      <c r="B509" s="1057" t="s">
        <v>228</v>
      </c>
      <c r="C509" s="1075"/>
      <c r="D509" s="1075"/>
      <c r="E509" s="330"/>
      <c r="F509" s="330"/>
      <c r="G509" s="330"/>
      <c r="H509" s="332"/>
      <c r="I509" s="424"/>
      <c r="J509" s="425"/>
    </row>
    <row r="510" spans="1:10" ht="38.1" customHeight="1" x14ac:dyDescent="0.2">
      <c r="A510" s="47"/>
      <c r="B510" s="1076" t="s">
        <v>229</v>
      </c>
      <c r="C510" s="1077"/>
      <c r="D510" s="1077"/>
      <c r="E510" s="1077"/>
      <c r="F510" s="1077"/>
      <c r="G510" s="1077"/>
      <c r="H510" s="1077"/>
      <c r="I510" s="1077"/>
      <c r="J510" s="1078"/>
    </row>
    <row r="511" spans="1:10" x14ac:dyDescent="0.2">
      <c r="A511" s="47"/>
      <c r="B511" s="426" t="s">
        <v>211</v>
      </c>
      <c r="C511" s="1060"/>
      <c r="D511" s="1060"/>
      <c r="E511" s="1060"/>
      <c r="F511" s="1060"/>
      <c r="G511" s="1060"/>
      <c r="H511" s="1060"/>
      <c r="I511" s="1060"/>
      <c r="J511" s="1061"/>
    </row>
    <row r="512" spans="1:10" x14ac:dyDescent="0.2">
      <c r="A512" s="47"/>
      <c r="B512" s="427" t="s">
        <v>178</v>
      </c>
      <c r="C512" s="428"/>
      <c r="D512" s="429"/>
      <c r="E512" s="429"/>
      <c r="F512" s="429"/>
      <c r="G512" s="429"/>
      <c r="H512" s="429"/>
      <c r="I512" s="430"/>
      <c r="J512" s="431"/>
    </row>
    <row r="513" spans="1:11" x14ac:dyDescent="0.2">
      <c r="A513" s="47"/>
      <c r="B513" s="432" t="s">
        <v>230</v>
      </c>
      <c r="C513" s="428"/>
      <c r="D513" s="429"/>
      <c r="E513" s="440">
        <v>108000</v>
      </c>
      <c r="F513" s="429"/>
      <c r="G513" s="429"/>
      <c r="H513" s="440">
        <v>108000</v>
      </c>
      <c r="I513" s="424" t="s">
        <v>15</v>
      </c>
      <c r="J513" s="431"/>
    </row>
    <row r="514" spans="1:11" ht="12" thickBot="1" x14ac:dyDescent="0.25">
      <c r="A514" s="47"/>
      <c r="B514" s="335" t="s">
        <v>169</v>
      </c>
      <c r="C514" s="435"/>
      <c r="D514" s="436"/>
      <c r="E514" s="441">
        <f>SUBTOTAL(9,E513:E513)</f>
        <v>108000</v>
      </c>
      <c r="F514" s="429"/>
      <c r="G514" s="429"/>
      <c r="H514" s="429"/>
      <c r="I514" s="430"/>
      <c r="J514" s="431"/>
    </row>
    <row r="515" spans="1:11" ht="30" customHeight="1" thickTop="1" x14ac:dyDescent="0.2">
      <c r="A515" s="47"/>
      <c r="B515" s="1035" t="s">
        <v>226</v>
      </c>
      <c r="C515" s="1036"/>
      <c r="D515" s="1036"/>
      <c r="E515" s="1036"/>
      <c r="F515" s="1036"/>
      <c r="G515" s="1036"/>
      <c r="H515" s="1036"/>
      <c r="I515" s="437"/>
      <c r="J515" s="438"/>
    </row>
    <row r="516" spans="1:11" ht="9.9499999999999993" customHeight="1" x14ac:dyDescent="0.2">
      <c r="A516" s="47"/>
      <c r="B516" s="274"/>
      <c r="C516" s="195"/>
      <c r="D516" s="274"/>
      <c r="E516" s="274"/>
      <c r="F516" s="274"/>
      <c r="G516" s="274"/>
      <c r="H516" s="274"/>
      <c r="I516" s="275"/>
      <c r="J516" s="276"/>
    </row>
    <row r="517" spans="1:11" s="29" customFormat="1" ht="12" x14ac:dyDescent="0.2">
      <c r="A517" s="44"/>
      <c r="B517" s="303" t="s">
        <v>231</v>
      </c>
      <c r="C517" s="966"/>
      <c r="D517" s="966"/>
      <c r="E517" s="949" t="s">
        <v>169</v>
      </c>
      <c r="F517" s="949"/>
      <c r="G517" s="314">
        <f>E528</f>
        <v>700000</v>
      </c>
      <c r="H517" s="286"/>
      <c r="I517" s="287"/>
      <c r="J517" s="289"/>
      <c r="K517" s="30"/>
    </row>
    <row r="518" spans="1:11" s="29" customFormat="1" ht="12" x14ac:dyDescent="0.2">
      <c r="A518" s="44"/>
      <c r="B518" s="964" t="s">
        <v>232</v>
      </c>
      <c r="C518" s="965"/>
      <c r="D518" s="965"/>
      <c r="E518" s="965"/>
      <c r="F518" s="246"/>
      <c r="G518" s="246"/>
      <c r="H518" s="292"/>
      <c r="I518" s="292"/>
      <c r="J518" s="294"/>
      <c r="K518" s="30"/>
    </row>
    <row r="519" spans="1:11" s="29" customFormat="1" ht="21.75" customHeight="1" x14ac:dyDescent="0.2">
      <c r="A519" s="44"/>
      <c r="B519" s="964" t="s">
        <v>233</v>
      </c>
      <c r="C519" s="965"/>
      <c r="D519" s="965"/>
      <c r="E519" s="246"/>
      <c r="F519" s="246"/>
      <c r="G519" s="246"/>
      <c r="H519" s="292"/>
      <c r="I519" s="292"/>
      <c r="J519" s="294"/>
      <c r="K519" s="28"/>
    </row>
    <row r="520" spans="1:11" s="29" customFormat="1" ht="12" x14ac:dyDescent="0.2">
      <c r="A520" s="44"/>
      <c r="B520" s="945" t="s">
        <v>234</v>
      </c>
      <c r="C520" s="946"/>
      <c r="D520" s="946"/>
      <c r="E520" s="946"/>
      <c r="F520" s="946"/>
      <c r="G520" s="946"/>
      <c r="H520" s="946"/>
      <c r="I520" s="212"/>
      <c r="J520" s="273"/>
      <c r="K520" s="28"/>
    </row>
    <row r="521" spans="1:11" s="29" customFormat="1" ht="12" x14ac:dyDescent="0.2">
      <c r="A521" s="44"/>
      <c r="B521" s="945" t="s">
        <v>235</v>
      </c>
      <c r="C521" s="946"/>
      <c r="D521" s="946"/>
      <c r="E521" s="946"/>
      <c r="F521" s="946"/>
      <c r="G521" s="946"/>
      <c r="H521" s="946"/>
      <c r="I521" s="212"/>
      <c r="J521" s="273"/>
      <c r="K521" s="28"/>
    </row>
    <row r="522" spans="1:11" s="29" customFormat="1" ht="12" x14ac:dyDescent="0.2">
      <c r="A522" s="44"/>
      <c r="B522" s="307" t="s">
        <v>178</v>
      </c>
      <c r="C522" s="212"/>
      <c r="D522" s="283"/>
      <c r="E522" s="283"/>
      <c r="F522" s="283"/>
      <c r="G522" s="283"/>
      <c r="H522" s="283"/>
      <c r="I522" s="212"/>
      <c r="J522" s="273"/>
      <c r="K522" s="28"/>
    </row>
    <row r="523" spans="1:11" s="29" customFormat="1" ht="12" x14ac:dyDescent="0.2">
      <c r="A523" s="47" t="s">
        <v>13</v>
      </c>
      <c r="B523" s="967" t="s">
        <v>236</v>
      </c>
      <c r="C523" s="968"/>
      <c r="D523" s="968"/>
      <c r="E523" s="319">
        <v>380000</v>
      </c>
      <c r="F523" s="320"/>
      <c r="G523" s="320"/>
      <c r="H523" s="321"/>
      <c r="I523" s="322" t="s">
        <v>26</v>
      </c>
      <c r="J523" s="323"/>
      <c r="K523" s="31"/>
    </row>
    <row r="524" spans="1:11" s="29" customFormat="1" ht="24" customHeight="1" x14ac:dyDescent="0.2">
      <c r="A524" s="47" t="s">
        <v>17</v>
      </c>
      <c r="B524" s="969" t="s">
        <v>237</v>
      </c>
      <c r="C524" s="970"/>
      <c r="D524" s="970"/>
      <c r="E524" s="319">
        <v>80000</v>
      </c>
      <c r="F524" s="320"/>
      <c r="G524" s="320"/>
      <c r="H524" s="321"/>
      <c r="I524" s="322" t="s">
        <v>26</v>
      </c>
      <c r="J524" s="323"/>
      <c r="K524" s="28" t="s">
        <v>238</v>
      </c>
    </row>
    <row r="525" spans="1:11" s="29" customFormat="1" ht="24" customHeight="1" x14ac:dyDescent="0.2">
      <c r="A525" s="47" t="s">
        <v>18</v>
      </c>
      <c r="B525" s="969" t="s">
        <v>237</v>
      </c>
      <c r="C525" s="970"/>
      <c r="D525" s="970"/>
      <c r="E525" s="319">
        <v>80000</v>
      </c>
      <c r="F525" s="320"/>
      <c r="G525" s="320"/>
      <c r="H525" s="321"/>
      <c r="I525" s="322" t="s">
        <v>26</v>
      </c>
      <c r="J525" s="323"/>
      <c r="K525" s="28"/>
    </row>
    <row r="526" spans="1:11" s="29" customFormat="1" ht="24" customHeight="1" x14ac:dyDescent="0.2">
      <c r="A526" s="47" t="s">
        <v>19</v>
      </c>
      <c r="B526" s="969" t="s">
        <v>237</v>
      </c>
      <c r="C526" s="970"/>
      <c r="D526" s="970"/>
      <c r="E526" s="319">
        <v>80000</v>
      </c>
      <c r="F526" s="320"/>
      <c r="G526" s="320"/>
      <c r="H526" s="321"/>
      <c r="I526" s="322" t="s">
        <v>26</v>
      </c>
      <c r="J526" s="323"/>
      <c r="K526" s="28"/>
    </row>
    <row r="527" spans="1:11" ht="26.25" customHeight="1" x14ac:dyDescent="0.2">
      <c r="A527" s="47" t="s">
        <v>20</v>
      </c>
      <c r="B527" s="969" t="s">
        <v>237</v>
      </c>
      <c r="C527" s="970"/>
      <c r="D527" s="970"/>
      <c r="E527" s="324">
        <v>80000</v>
      </c>
      <c r="F527" s="320"/>
      <c r="G527" s="320"/>
      <c r="H527" s="321"/>
      <c r="I527" s="322" t="s">
        <v>26</v>
      </c>
      <c r="J527" s="323"/>
      <c r="K527" s="78"/>
    </row>
    <row r="528" spans="1:11" s="29" customFormat="1" ht="12.75" thickBot="1" x14ac:dyDescent="0.25">
      <c r="A528" s="44"/>
      <c r="B528" s="299" t="s">
        <v>169</v>
      </c>
      <c r="C528" s="300"/>
      <c r="D528" s="301"/>
      <c r="E528" s="316">
        <f>SUBTOTAL(9,E523:E527)</f>
        <v>700000</v>
      </c>
      <c r="F528" s="283"/>
      <c r="G528" s="283"/>
      <c r="H528" s="283"/>
      <c r="I528" s="212"/>
      <c r="J528" s="273"/>
      <c r="K528" s="28"/>
    </row>
    <row r="529" spans="1:11" s="29" customFormat="1" ht="21.75" customHeight="1" thickTop="1" x14ac:dyDescent="0.2">
      <c r="A529" s="44"/>
      <c r="B529" s="1054" t="s">
        <v>239</v>
      </c>
      <c r="C529" s="1055"/>
      <c r="D529" s="1055"/>
      <c r="E529" s="1055"/>
      <c r="F529" s="1055"/>
      <c r="G529" s="1055"/>
      <c r="H529" s="1055"/>
      <c r="I529" s="199"/>
      <c r="J529" s="312"/>
      <c r="K529" s="28"/>
    </row>
    <row r="530" spans="1:11" ht="9.9499999999999993" customHeight="1" x14ac:dyDescent="0.2">
      <c r="A530" s="47"/>
      <c r="B530" s="195"/>
      <c r="C530" s="195"/>
      <c r="D530" s="195"/>
      <c r="E530" s="195"/>
      <c r="F530" s="195"/>
      <c r="G530" s="195"/>
      <c r="H530" s="195"/>
      <c r="I530" s="275"/>
      <c r="J530" s="196"/>
      <c r="K530" s="78"/>
    </row>
    <row r="531" spans="1:11" x14ac:dyDescent="0.2">
      <c r="A531" s="47"/>
      <c r="B531" s="325" t="s">
        <v>167</v>
      </c>
      <c r="C531" s="1074" t="s">
        <v>240</v>
      </c>
      <c r="D531" s="1074"/>
      <c r="E531" s="1056" t="s">
        <v>169</v>
      </c>
      <c r="F531" s="1056"/>
      <c r="G531" s="326">
        <f>E542</f>
        <v>194249</v>
      </c>
      <c r="H531" s="327"/>
      <c r="I531" s="328" t="s">
        <v>26</v>
      </c>
      <c r="J531" s="329"/>
      <c r="K531" s="98"/>
    </row>
    <row r="532" spans="1:11" ht="15" customHeight="1" x14ac:dyDescent="0.2">
      <c r="A532" s="47"/>
      <c r="B532" s="1057" t="s">
        <v>241</v>
      </c>
      <c r="C532" s="1058"/>
      <c r="D532" s="1058"/>
      <c r="E532" s="1058"/>
      <c r="F532" s="330"/>
      <c r="G532" s="246"/>
      <c r="H532" s="292"/>
      <c r="I532" s="331"/>
      <c r="J532" s="294"/>
      <c r="K532" s="98"/>
    </row>
    <row r="533" spans="1:11" ht="15" customHeight="1" x14ac:dyDescent="0.2">
      <c r="A533" s="47"/>
      <c r="B533" s="1057" t="s">
        <v>242</v>
      </c>
      <c r="C533" s="1058"/>
      <c r="D533" s="1058"/>
      <c r="E533" s="330"/>
      <c r="F533" s="330"/>
      <c r="G533" s="330"/>
      <c r="H533" s="332"/>
      <c r="I533" s="331"/>
      <c r="J533" s="294"/>
      <c r="K533" s="78"/>
    </row>
    <row r="534" spans="1:11" ht="24.95" customHeight="1" x14ac:dyDescent="0.2">
      <c r="A534" s="47"/>
      <c r="B534" s="1059" t="s">
        <v>243</v>
      </c>
      <c r="C534" s="1060"/>
      <c r="D534" s="1060"/>
      <c r="E534" s="1060"/>
      <c r="F534" s="1060"/>
      <c r="G534" s="1060"/>
      <c r="H534" s="1060"/>
      <c r="I534" s="1060"/>
      <c r="J534" s="1061"/>
      <c r="K534" s="78"/>
    </row>
    <row r="535" spans="1:11" ht="12" customHeight="1" x14ac:dyDescent="0.2">
      <c r="A535" s="47"/>
      <c r="B535" s="1062" t="s">
        <v>244</v>
      </c>
      <c r="C535" s="946"/>
      <c r="D535" s="946"/>
      <c r="E535" s="946"/>
      <c r="F535" s="946"/>
      <c r="G535" s="946"/>
      <c r="H535" s="946"/>
      <c r="I535" s="214"/>
      <c r="J535" s="273"/>
      <c r="K535" s="78"/>
    </row>
    <row r="536" spans="1:11" x14ac:dyDescent="0.2">
      <c r="A536" s="47"/>
      <c r="B536" s="307" t="s">
        <v>178</v>
      </c>
      <c r="C536" s="212"/>
      <c r="D536" s="283"/>
      <c r="E536" s="283"/>
      <c r="F536" s="283"/>
      <c r="G536" s="283"/>
      <c r="H536" s="283"/>
      <c r="I536" s="214"/>
      <c r="J536" s="273"/>
      <c r="K536" s="78"/>
    </row>
    <row r="537" spans="1:11" x14ac:dyDescent="0.2">
      <c r="A537" s="47" t="s">
        <v>13</v>
      </c>
      <c r="B537" s="296" t="s">
        <v>245</v>
      </c>
      <c r="C537" s="212"/>
      <c r="D537" s="283"/>
      <c r="E537" s="333">
        <v>34249</v>
      </c>
      <c r="F537" s="283"/>
      <c r="G537" s="283"/>
      <c r="H537" s="334"/>
      <c r="I537" s="214" t="s">
        <v>26</v>
      </c>
      <c r="J537" s="273"/>
      <c r="K537" s="112"/>
    </row>
    <row r="538" spans="1:11" x14ac:dyDescent="0.2">
      <c r="A538" s="47" t="s">
        <v>17</v>
      </c>
      <c r="B538" s="296" t="s">
        <v>245</v>
      </c>
      <c r="C538" s="212"/>
      <c r="D538" s="283"/>
      <c r="E538" s="333">
        <v>40000</v>
      </c>
      <c r="F538" s="283"/>
      <c r="G538" s="283"/>
      <c r="H538" s="334"/>
      <c r="I538" s="214" t="s">
        <v>26</v>
      </c>
      <c r="J538" s="273"/>
      <c r="K538" s="112"/>
    </row>
    <row r="539" spans="1:11" x14ac:dyDescent="0.2">
      <c r="A539" s="47" t="s">
        <v>18</v>
      </c>
      <c r="B539" s="296" t="s">
        <v>245</v>
      </c>
      <c r="C539" s="212"/>
      <c r="D539" s="283"/>
      <c r="E539" s="333">
        <v>40000</v>
      </c>
      <c r="F539" s="283"/>
      <c r="G539" s="283"/>
      <c r="H539" s="334"/>
      <c r="I539" s="214" t="s">
        <v>26</v>
      </c>
      <c r="J539" s="273"/>
      <c r="K539" s="112"/>
    </row>
    <row r="540" spans="1:11" x14ac:dyDescent="0.2">
      <c r="A540" s="47" t="s">
        <v>19</v>
      </c>
      <c r="B540" s="296" t="s">
        <v>245</v>
      </c>
      <c r="C540" s="212"/>
      <c r="D540" s="283"/>
      <c r="E540" s="333">
        <v>40000</v>
      </c>
      <c r="F540" s="283"/>
      <c r="G540" s="283"/>
      <c r="H540" s="334"/>
      <c r="I540" s="214" t="s">
        <v>26</v>
      </c>
      <c r="J540" s="273"/>
      <c r="K540" s="112"/>
    </row>
    <row r="541" spans="1:11" x14ac:dyDescent="0.2">
      <c r="A541" s="47" t="s">
        <v>20</v>
      </c>
      <c r="B541" s="296" t="s">
        <v>245</v>
      </c>
      <c r="C541" s="212"/>
      <c r="D541" s="283"/>
      <c r="E541" s="333">
        <v>40000</v>
      </c>
      <c r="F541" s="283"/>
      <c r="G541" s="283"/>
      <c r="H541" s="334"/>
      <c r="I541" s="214" t="s">
        <v>26</v>
      </c>
      <c r="J541" s="273"/>
      <c r="K541" s="112"/>
    </row>
    <row r="542" spans="1:11" ht="12" thickBot="1" x14ac:dyDescent="0.25">
      <c r="A542" s="47"/>
      <c r="B542" s="335" t="s">
        <v>169</v>
      </c>
      <c r="C542" s="300"/>
      <c r="D542" s="301"/>
      <c r="E542" s="336">
        <f>SUBTOTAL(9,E537:E541)</f>
        <v>194249</v>
      </c>
      <c r="F542" s="283"/>
      <c r="G542" s="283"/>
      <c r="H542" s="283"/>
      <c r="I542" s="214"/>
      <c r="J542" s="273"/>
      <c r="K542" s="78"/>
    </row>
    <row r="543" spans="1:11" ht="12" thickTop="1" x14ac:dyDescent="0.2">
      <c r="A543" s="47"/>
      <c r="B543" s="1054" t="s">
        <v>239</v>
      </c>
      <c r="C543" s="1055"/>
      <c r="D543" s="1055"/>
      <c r="E543" s="1055"/>
      <c r="F543" s="1055"/>
      <c r="G543" s="1055"/>
      <c r="H543" s="1055"/>
      <c r="I543" s="210"/>
      <c r="J543" s="312"/>
      <c r="K543" s="78"/>
    </row>
    <row r="544" spans="1:11" x14ac:dyDescent="0.2">
      <c r="A544" s="47"/>
      <c r="B544" s="963"/>
      <c r="C544" s="963"/>
      <c r="D544" s="963"/>
      <c r="E544" s="963"/>
      <c r="F544" s="963"/>
      <c r="G544" s="963"/>
      <c r="H544" s="963"/>
      <c r="I544" s="963"/>
      <c r="J544" s="963"/>
      <c r="K544" s="78"/>
    </row>
    <row r="545" spans="1:16" ht="11.25" customHeight="1" x14ac:dyDescent="0.2">
      <c r="A545" s="47"/>
      <c r="B545" s="442" t="s">
        <v>167</v>
      </c>
      <c r="C545" s="1098" t="s">
        <v>246</v>
      </c>
      <c r="D545" s="1098"/>
      <c r="E545" s="337" t="s">
        <v>216</v>
      </c>
      <c r="F545" s="338">
        <f>SUBTOTAL(9,E551:E578)</f>
        <v>752504</v>
      </c>
      <c r="G545" s="339"/>
      <c r="H545" s="339"/>
      <c r="I545" s="339"/>
      <c r="J545" s="340"/>
      <c r="K545" s="117"/>
      <c r="L545" s="117"/>
      <c r="M545" s="85"/>
      <c r="N545" s="118"/>
      <c r="O545" s="118"/>
      <c r="P545" s="119"/>
    </row>
    <row r="546" spans="1:16" x14ac:dyDescent="0.2">
      <c r="A546" s="47"/>
      <c r="B546" s="1085" t="s">
        <v>247</v>
      </c>
      <c r="C546" s="1086"/>
      <c r="D546" s="1086"/>
      <c r="E546" s="1086"/>
      <c r="F546" s="246" t="s">
        <v>248</v>
      </c>
      <c r="G546" s="246"/>
      <c r="H546" s="292"/>
      <c r="I546" s="341"/>
      <c r="J546" s="342"/>
    </row>
    <row r="547" spans="1:16" x14ac:dyDescent="0.2">
      <c r="A547" s="47"/>
      <c r="B547" s="1087" t="s">
        <v>249</v>
      </c>
      <c r="C547" s="1088"/>
      <c r="D547" s="1088"/>
      <c r="E547" s="343"/>
      <c r="F547" s="246"/>
      <c r="G547" s="246"/>
      <c r="H547" s="292"/>
      <c r="I547" s="341"/>
      <c r="J547" s="342"/>
      <c r="K547" s="76"/>
    </row>
    <row r="548" spans="1:16" ht="46.5" customHeight="1" x14ac:dyDescent="0.2">
      <c r="A548" s="47"/>
      <c r="B548" s="1041" t="s">
        <v>250</v>
      </c>
      <c r="C548" s="941"/>
      <c r="D548" s="941"/>
      <c r="E548" s="941"/>
      <c r="F548" s="941"/>
      <c r="G548" s="941"/>
      <c r="H548" s="941"/>
      <c r="I548" s="941"/>
      <c r="J548" s="344"/>
      <c r="K548" s="76"/>
    </row>
    <row r="549" spans="1:16" ht="40.5" customHeight="1" x14ac:dyDescent="0.2">
      <c r="A549" s="47"/>
      <c r="B549" s="1051" t="s">
        <v>251</v>
      </c>
      <c r="C549" s="1052"/>
      <c r="D549" s="1052"/>
      <c r="E549" s="1052"/>
      <c r="F549" s="1052"/>
      <c r="G549" s="1052"/>
      <c r="H549" s="1052"/>
      <c r="I549" s="1052"/>
      <c r="J549" s="342"/>
      <c r="K549" s="76"/>
    </row>
    <row r="550" spans="1:16" x14ac:dyDescent="0.2">
      <c r="A550" s="47"/>
      <c r="B550" s="345" t="s">
        <v>178</v>
      </c>
      <c r="C550" s="212"/>
      <c r="D550" s="283"/>
      <c r="E550" s="283"/>
      <c r="F550" s="283"/>
      <c r="G550" s="283"/>
      <c r="H550" s="283"/>
      <c r="I550" s="341"/>
      <c r="J550" s="342"/>
      <c r="K550" s="76"/>
    </row>
    <row r="551" spans="1:16" ht="24" customHeight="1" x14ac:dyDescent="0.2">
      <c r="A551" s="47" t="s">
        <v>13</v>
      </c>
      <c r="B551" s="1005" t="s">
        <v>252</v>
      </c>
      <c r="C551" s="1006"/>
      <c r="D551" s="1006"/>
      <c r="E551" s="185">
        <f>130000/5</f>
        <v>26000</v>
      </c>
      <c r="F551" s="283"/>
      <c r="G551" s="283"/>
      <c r="H551" s="185">
        <f>130000/5</f>
        <v>26000</v>
      </c>
      <c r="I551" s="346" t="s">
        <v>26</v>
      </c>
      <c r="J551" s="342"/>
      <c r="K551" s="76"/>
    </row>
    <row r="552" spans="1:16" ht="28.5" customHeight="1" x14ac:dyDescent="0.2">
      <c r="A552" s="47" t="s">
        <v>13</v>
      </c>
      <c r="B552" s="1005" t="s">
        <v>253</v>
      </c>
      <c r="C552" s="1006"/>
      <c r="D552" s="1006"/>
      <c r="E552" s="347">
        <v>600</v>
      </c>
      <c r="F552" s="283"/>
      <c r="G552" s="283"/>
      <c r="H552" s="347">
        <v>600</v>
      </c>
      <c r="I552" s="346" t="s">
        <v>26</v>
      </c>
      <c r="J552" s="342"/>
      <c r="K552" s="76"/>
    </row>
    <row r="553" spans="1:16" ht="35.25" customHeight="1" x14ac:dyDescent="0.2">
      <c r="A553" s="47" t="s">
        <v>13</v>
      </c>
      <c r="B553" s="1079" t="s">
        <v>254</v>
      </c>
      <c r="C553" s="1080"/>
      <c r="D553" s="1080"/>
      <c r="E553" s="185">
        <f>82491+65913</f>
        <v>148404</v>
      </c>
      <c r="F553" s="472"/>
      <c r="G553" s="283"/>
      <c r="H553" s="185">
        <v>82491</v>
      </c>
      <c r="I553" s="346" t="s">
        <v>26</v>
      </c>
      <c r="J553" s="342"/>
    </row>
    <row r="554" spans="1:16" ht="22.5" customHeight="1" x14ac:dyDescent="0.2">
      <c r="A554" s="47" t="s">
        <v>13</v>
      </c>
      <c r="B554" s="938" t="s">
        <v>255</v>
      </c>
      <c r="C554" s="939"/>
      <c r="D554" s="939"/>
      <c r="E554" s="348">
        <f>10909+6591</f>
        <v>17500</v>
      </c>
      <c r="F554" s="283"/>
      <c r="G554" s="283"/>
      <c r="H554" s="348">
        <f>0.1*SUM(H551:H553)</f>
        <v>10909.1</v>
      </c>
      <c r="I554" s="346" t="s">
        <v>26</v>
      </c>
      <c r="J554" s="342"/>
    </row>
    <row r="555" spans="1:16" ht="12" thickBot="1" x14ac:dyDescent="0.25">
      <c r="A555" s="47"/>
      <c r="B555" s="296"/>
      <c r="C555" s="212"/>
      <c r="D555" s="349" t="s">
        <v>13</v>
      </c>
      <c r="E555" s="350">
        <f>ROUND(SUBTOTAL(9,E551:E554),0)</f>
        <v>192504</v>
      </c>
      <c r="F555" s="283"/>
      <c r="G555" s="283"/>
      <c r="H555" s="348"/>
      <c r="I555" s="346"/>
      <c r="J555" s="342"/>
    </row>
    <row r="556" spans="1:16" ht="12" thickTop="1" x14ac:dyDescent="0.2">
      <c r="A556" s="47"/>
      <c r="B556" s="307" t="s">
        <v>178</v>
      </c>
      <c r="C556" s="212"/>
      <c r="D556" s="283"/>
      <c r="E556" s="283"/>
      <c r="F556" s="283"/>
      <c r="G556" s="283"/>
      <c r="H556" s="283"/>
      <c r="I556" s="341"/>
      <c r="J556" s="342"/>
      <c r="K556" s="76"/>
    </row>
    <row r="557" spans="1:16" ht="33.75" customHeight="1" x14ac:dyDescent="0.2">
      <c r="A557" s="47" t="s">
        <v>17</v>
      </c>
      <c r="B557" s="938" t="s">
        <v>252</v>
      </c>
      <c r="C557" s="939"/>
      <c r="D557" s="939"/>
      <c r="E557" s="185">
        <f>130000/5</f>
        <v>26000</v>
      </c>
      <c r="F557" s="283"/>
      <c r="G557" s="283"/>
      <c r="H557" s="185">
        <f>130000/5</f>
        <v>26000</v>
      </c>
      <c r="I557" s="346" t="s">
        <v>26</v>
      </c>
      <c r="J557" s="342"/>
      <c r="K557" s="76"/>
    </row>
    <row r="558" spans="1:16" ht="33.75" customHeight="1" x14ac:dyDescent="0.2">
      <c r="A558" s="47" t="s">
        <v>17</v>
      </c>
      <c r="B558" s="938" t="s">
        <v>253</v>
      </c>
      <c r="C558" s="939"/>
      <c r="D558" s="939"/>
      <c r="E558" s="347">
        <v>600</v>
      </c>
      <c r="F558" s="283"/>
      <c r="G558" s="283"/>
      <c r="H558" s="347">
        <v>600</v>
      </c>
      <c r="I558" s="346" t="s">
        <v>26</v>
      </c>
      <c r="J558" s="342"/>
      <c r="K558" s="76"/>
    </row>
    <row r="559" spans="1:16" ht="56.25" customHeight="1" x14ac:dyDescent="0.2">
      <c r="A559" s="47" t="s">
        <v>17</v>
      </c>
      <c r="B559" s="1079" t="s">
        <v>256</v>
      </c>
      <c r="C559" s="1080"/>
      <c r="D559" s="1080"/>
      <c r="E559" s="185">
        <v>100673</v>
      </c>
      <c r="F559" s="283"/>
      <c r="G559" s="283"/>
      <c r="H559" s="185">
        <f>485182/5</f>
        <v>97036.4</v>
      </c>
      <c r="I559" s="346" t="s">
        <v>26</v>
      </c>
      <c r="J559" s="342"/>
    </row>
    <row r="560" spans="1:16" ht="22.5" x14ac:dyDescent="0.2">
      <c r="A560" s="47" t="s">
        <v>17</v>
      </c>
      <c r="B560" s="296" t="s">
        <v>255</v>
      </c>
      <c r="C560" s="212"/>
      <c r="D560" s="283"/>
      <c r="E560" s="348">
        <f>ROUND(0.1*SUM(E557:E559),0)</f>
        <v>12727</v>
      </c>
      <c r="F560" s="283"/>
      <c r="G560" s="283"/>
      <c r="H560" s="348">
        <f>0.1*SUM(H557:H559)</f>
        <v>12363.64</v>
      </c>
      <c r="I560" s="346" t="s">
        <v>26</v>
      </c>
      <c r="J560" s="342"/>
    </row>
    <row r="561" spans="1:12" ht="12" thickBot="1" x14ac:dyDescent="0.25">
      <c r="A561" s="47"/>
      <c r="B561" s="296"/>
      <c r="C561" s="212"/>
      <c r="D561" s="349" t="s">
        <v>17</v>
      </c>
      <c r="E561" s="350">
        <f>ROUND(SUBTOTAL(9,E557:E560),0)</f>
        <v>140000</v>
      </c>
      <c r="F561" s="283"/>
      <c r="G561" s="283"/>
      <c r="H561" s="348"/>
      <c r="I561" s="346"/>
      <c r="J561" s="342"/>
    </row>
    <row r="562" spans="1:12" ht="12" thickTop="1" x14ac:dyDescent="0.2">
      <c r="A562" s="47"/>
      <c r="B562" s="307" t="s">
        <v>178</v>
      </c>
      <c r="C562" s="212"/>
      <c r="D562" s="283"/>
      <c r="E562" s="283"/>
      <c r="F562" s="283"/>
      <c r="G562" s="283"/>
      <c r="H562" s="283"/>
      <c r="I562" s="341"/>
      <c r="J562" s="342"/>
      <c r="K562" s="76"/>
    </row>
    <row r="563" spans="1:12" ht="33.75" x14ac:dyDescent="0.2">
      <c r="A563" s="47" t="s">
        <v>18</v>
      </c>
      <c r="B563" s="296" t="s">
        <v>252</v>
      </c>
      <c r="C563" s="212"/>
      <c r="D563" s="283"/>
      <c r="E563" s="185">
        <f>130000/5</f>
        <v>26000</v>
      </c>
      <c r="F563" s="283"/>
      <c r="G563" s="283"/>
      <c r="H563" s="185">
        <f>130000/5</f>
        <v>26000</v>
      </c>
      <c r="I563" s="346" t="s">
        <v>26</v>
      </c>
      <c r="J563" s="342"/>
      <c r="K563" s="76"/>
    </row>
    <row r="564" spans="1:12" ht="39.4" customHeight="1" x14ac:dyDescent="0.2">
      <c r="A564" s="47" t="s">
        <v>18</v>
      </c>
      <c r="B564" s="296" t="s">
        <v>253</v>
      </c>
      <c r="C564" s="212"/>
      <c r="D564" s="283"/>
      <c r="E564" s="347">
        <v>600</v>
      </c>
      <c r="F564" s="283"/>
      <c r="G564" s="283"/>
      <c r="H564" s="347">
        <v>600</v>
      </c>
      <c r="I564" s="346" t="s">
        <v>26</v>
      </c>
      <c r="J564" s="342"/>
      <c r="K564" s="76"/>
    </row>
    <row r="565" spans="1:12" ht="56.25" x14ac:dyDescent="0.2">
      <c r="A565" s="47" t="s">
        <v>18</v>
      </c>
      <c r="B565" s="351" t="s">
        <v>256</v>
      </c>
      <c r="C565" s="212"/>
      <c r="D565" s="283"/>
      <c r="E565" s="185">
        <v>100673</v>
      </c>
      <c r="F565" s="283"/>
      <c r="G565" s="283"/>
      <c r="H565" s="185">
        <f>485182/5</f>
        <v>97036.4</v>
      </c>
      <c r="I565" s="346" t="s">
        <v>26</v>
      </c>
      <c r="J565" s="342"/>
      <c r="L565" s="77"/>
    </row>
    <row r="566" spans="1:12" ht="22.5" x14ac:dyDescent="0.2">
      <c r="A566" s="47" t="s">
        <v>18</v>
      </c>
      <c r="B566" s="296" t="s">
        <v>255</v>
      </c>
      <c r="C566" s="212"/>
      <c r="D566" s="283"/>
      <c r="E566" s="348">
        <f>ROUND(0.1*SUM(E563:E565),0)</f>
        <v>12727</v>
      </c>
      <c r="F566" s="283"/>
      <c r="G566" s="283"/>
      <c r="H566" s="348">
        <f>0.1*SUM(H563:H565)</f>
        <v>12363.64</v>
      </c>
      <c r="I566" s="346" t="s">
        <v>26</v>
      </c>
      <c r="J566" s="342"/>
    </row>
    <row r="567" spans="1:12" ht="12" thickBot="1" x14ac:dyDescent="0.25">
      <c r="A567" s="47"/>
      <c r="B567" s="352"/>
      <c r="C567" s="212"/>
      <c r="D567" s="349" t="s">
        <v>18</v>
      </c>
      <c r="E567" s="350">
        <f>ROUND(SUBTOTAL(9,E563:E566),0)</f>
        <v>140000</v>
      </c>
      <c r="F567" s="283"/>
      <c r="G567" s="283"/>
      <c r="H567" s="348"/>
      <c r="I567" s="346"/>
      <c r="J567" s="342"/>
    </row>
    <row r="568" spans="1:12" ht="12" thickTop="1" x14ac:dyDescent="0.2">
      <c r="A568" s="47"/>
      <c r="B568" s="307" t="s">
        <v>178</v>
      </c>
      <c r="C568" s="212"/>
      <c r="D568" s="283"/>
      <c r="E568" s="283"/>
      <c r="F568" s="283"/>
      <c r="G568" s="283"/>
      <c r="H568" s="283"/>
      <c r="I568" s="341"/>
      <c r="J568" s="342"/>
      <c r="K568" s="76"/>
    </row>
    <row r="569" spans="1:12" ht="33.75" x14ac:dyDescent="0.2">
      <c r="A569" s="47" t="s">
        <v>19</v>
      </c>
      <c r="B569" s="296" t="s">
        <v>252</v>
      </c>
      <c r="C569" s="212"/>
      <c r="D569" s="283"/>
      <c r="E569" s="185">
        <f>130000/5</f>
        <v>26000</v>
      </c>
      <c r="F569" s="283"/>
      <c r="G569" s="283"/>
      <c r="H569" s="185">
        <f>130000/5</f>
        <v>26000</v>
      </c>
      <c r="I569" s="346" t="s">
        <v>26</v>
      </c>
      <c r="J569" s="342"/>
      <c r="K569" s="76"/>
    </row>
    <row r="570" spans="1:12" ht="33.75" x14ac:dyDescent="0.2">
      <c r="A570" s="47" t="s">
        <v>19</v>
      </c>
      <c r="B570" s="296" t="s">
        <v>253</v>
      </c>
      <c r="C570" s="212"/>
      <c r="D570" s="283"/>
      <c r="E570" s="347">
        <v>600</v>
      </c>
      <c r="F570" s="283"/>
      <c r="G570" s="283"/>
      <c r="H570" s="347">
        <v>600</v>
      </c>
      <c r="I570" s="346" t="s">
        <v>26</v>
      </c>
      <c r="J570" s="342"/>
      <c r="K570" s="76"/>
    </row>
    <row r="571" spans="1:12" ht="56.25" x14ac:dyDescent="0.2">
      <c r="A571" s="47" t="s">
        <v>19</v>
      </c>
      <c r="B571" s="351" t="s">
        <v>256</v>
      </c>
      <c r="C571" s="212"/>
      <c r="D571" s="283"/>
      <c r="E571" s="185">
        <v>100673</v>
      </c>
      <c r="F571" s="283"/>
      <c r="G571" s="283"/>
      <c r="H571" s="185">
        <f>485182/5</f>
        <v>97036.4</v>
      </c>
      <c r="I571" s="346" t="s">
        <v>26</v>
      </c>
      <c r="J571" s="342"/>
    </row>
    <row r="572" spans="1:12" ht="22.5" x14ac:dyDescent="0.2">
      <c r="A572" s="47" t="s">
        <v>19</v>
      </c>
      <c r="B572" s="296" t="s">
        <v>255</v>
      </c>
      <c r="C572" s="212"/>
      <c r="D572" s="283"/>
      <c r="E572" s="348">
        <f>ROUND(0.1*SUM(E569:E571),0)</f>
        <v>12727</v>
      </c>
      <c r="F572" s="283"/>
      <c r="G572" s="283"/>
      <c r="H572" s="348">
        <f>0.1*SUM(H569:H571)</f>
        <v>12363.64</v>
      </c>
      <c r="I572" s="346" t="s">
        <v>26</v>
      </c>
      <c r="J572" s="342"/>
    </row>
    <row r="573" spans="1:12" ht="12" thickBot="1" x14ac:dyDescent="0.25">
      <c r="A573" s="47"/>
      <c r="B573" s="296"/>
      <c r="C573" s="212"/>
      <c r="D573" s="349" t="s">
        <v>19</v>
      </c>
      <c r="E573" s="350">
        <f>ROUND(SUBTOTAL(9,E569:E572),0)</f>
        <v>140000</v>
      </c>
      <c r="F573" s="283"/>
      <c r="G573" s="283"/>
      <c r="H573" s="348"/>
      <c r="I573" s="346"/>
      <c r="J573" s="342"/>
    </row>
    <row r="574" spans="1:12" ht="12" thickTop="1" x14ac:dyDescent="0.2">
      <c r="A574" s="47"/>
      <c r="B574" s="307" t="s">
        <v>178</v>
      </c>
      <c r="C574" s="212"/>
      <c r="D574" s="283"/>
      <c r="E574" s="283"/>
      <c r="F574" s="283"/>
      <c r="G574" s="283"/>
      <c r="H574" s="283"/>
      <c r="I574" s="341"/>
      <c r="J574" s="342"/>
      <c r="K574" s="76"/>
    </row>
    <row r="575" spans="1:12" ht="21" customHeight="1" x14ac:dyDescent="0.2">
      <c r="A575" s="47" t="s">
        <v>20</v>
      </c>
      <c r="B575" s="1005" t="s">
        <v>252</v>
      </c>
      <c r="C575" s="1006"/>
      <c r="D575" s="1006"/>
      <c r="E575" s="185">
        <f>130000/5</f>
        <v>26000</v>
      </c>
      <c r="F575" s="283"/>
      <c r="G575" s="283"/>
      <c r="H575" s="185">
        <f>130000/5</f>
        <v>26000</v>
      </c>
      <c r="I575" s="346" t="s">
        <v>26</v>
      </c>
      <c r="J575" s="342"/>
      <c r="K575" s="76"/>
    </row>
    <row r="576" spans="1:12" ht="11.25" customHeight="1" x14ac:dyDescent="0.2">
      <c r="A576" s="47" t="s">
        <v>20</v>
      </c>
      <c r="B576" s="1005" t="s">
        <v>253</v>
      </c>
      <c r="C576" s="1006"/>
      <c r="D576" s="1006"/>
      <c r="E576" s="347">
        <v>600</v>
      </c>
      <c r="F576" s="283"/>
      <c r="G576" s="283"/>
      <c r="H576" s="347">
        <v>600</v>
      </c>
      <c r="I576" s="346" t="s">
        <v>26</v>
      </c>
      <c r="J576" s="342"/>
      <c r="K576" s="76"/>
    </row>
    <row r="577" spans="1:16" ht="36.75" customHeight="1" x14ac:dyDescent="0.2">
      <c r="A577" s="47" t="s">
        <v>20</v>
      </c>
      <c r="B577" s="1079" t="s">
        <v>256</v>
      </c>
      <c r="C577" s="1080"/>
      <c r="D577" s="1080"/>
      <c r="E577" s="185">
        <v>100673</v>
      </c>
      <c r="F577" s="283"/>
      <c r="G577" s="283"/>
      <c r="H577" s="185">
        <f>485182/5</f>
        <v>97036.4</v>
      </c>
      <c r="I577" s="346" t="s">
        <v>26</v>
      </c>
      <c r="J577" s="342"/>
    </row>
    <row r="578" spans="1:16" ht="22.5" customHeight="1" x14ac:dyDescent="0.2">
      <c r="A578" s="47" t="s">
        <v>20</v>
      </c>
      <c r="B578" s="1005" t="s">
        <v>255</v>
      </c>
      <c r="C578" s="1006"/>
      <c r="D578" s="1006"/>
      <c r="E578" s="348">
        <f>ROUND(0.1*SUM(E575:E577),0)</f>
        <v>12727</v>
      </c>
      <c r="F578" s="283"/>
      <c r="G578" s="283"/>
      <c r="H578" s="348">
        <f>0.1*SUM(H575:H577)</f>
        <v>12363.64</v>
      </c>
      <c r="I578" s="346" t="s">
        <v>26</v>
      </c>
      <c r="J578" s="342"/>
    </row>
    <row r="579" spans="1:16" ht="12" thickBot="1" x14ac:dyDescent="0.25">
      <c r="A579" s="47"/>
      <c r="B579" s="296"/>
      <c r="C579" s="212"/>
      <c r="D579" s="349" t="s">
        <v>20</v>
      </c>
      <c r="E579" s="350">
        <f>ROUND(SUBTOTAL(9,E575:E578),0)</f>
        <v>140000</v>
      </c>
      <c r="F579" s="283"/>
      <c r="G579" s="283"/>
      <c r="H579" s="348"/>
      <c r="I579" s="346"/>
      <c r="J579" s="342"/>
    </row>
    <row r="580" spans="1:16" ht="12" thickTop="1" x14ac:dyDescent="0.2">
      <c r="A580" s="47"/>
      <c r="B580" s="296"/>
      <c r="C580" s="212"/>
      <c r="D580" s="283"/>
      <c r="E580" s="348"/>
      <c r="F580" s="283"/>
      <c r="G580" s="283"/>
      <c r="H580" s="348"/>
      <c r="I580" s="346"/>
      <c r="J580" s="342"/>
    </row>
    <row r="581" spans="1:16" ht="12" thickBot="1" x14ac:dyDescent="0.25">
      <c r="A581" s="47"/>
      <c r="B581" s="299" t="s">
        <v>169</v>
      </c>
      <c r="C581" s="300"/>
      <c r="D581" s="301"/>
      <c r="E581" s="353">
        <f>ROUND(SUBTOTAL(9,E551:E578),0)</f>
        <v>752504</v>
      </c>
      <c r="F581" s="283"/>
      <c r="G581" s="283"/>
      <c r="H581" s="283"/>
      <c r="I581" s="341"/>
      <c r="J581" s="342"/>
    </row>
    <row r="582" spans="1:16" ht="53.25" customHeight="1" thickTop="1" x14ac:dyDescent="0.2">
      <c r="A582" s="47"/>
      <c r="B582" s="1091" t="s">
        <v>257</v>
      </c>
      <c r="C582" s="1055"/>
      <c r="D582" s="1055"/>
      <c r="E582" s="1055"/>
      <c r="F582" s="1055"/>
      <c r="G582" s="1055"/>
      <c r="H582" s="1055"/>
      <c r="I582" s="354"/>
      <c r="J582" s="355"/>
    </row>
    <row r="583" spans="1:16" ht="10.5" customHeight="1" x14ac:dyDescent="0.2">
      <c r="A583" s="47"/>
      <c r="B583" s="1053"/>
      <c r="C583" s="1053"/>
      <c r="D583" s="1053"/>
      <c r="E583" s="1053"/>
      <c r="F583" s="1053"/>
      <c r="G583" s="1053"/>
      <c r="H583" s="1053"/>
      <c r="I583" s="1053"/>
      <c r="J583" s="1053"/>
    </row>
    <row r="584" spans="1:16" ht="9" customHeight="1" x14ac:dyDescent="0.2">
      <c r="A584" s="47"/>
      <c r="B584" s="356"/>
      <c r="C584" s="357"/>
      <c r="D584" s="358"/>
      <c r="E584" s="358"/>
      <c r="F584" s="359"/>
      <c r="G584" s="359"/>
      <c r="H584" s="359"/>
      <c r="I584" s="359"/>
      <c r="J584" s="360"/>
      <c r="K584" s="95"/>
      <c r="L584" s="95"/>
      <c r="M584" s="95"/>
      <c r="N584" s="120"/>
      <c r="O584" s="120"/>
      <c r="P584" s="121"/>
    </row>
    <row r="585" spans="1:16" x14ac:dyDescent="0.2">
      <c r="A585" s="47"/>
      <c r="B585" s="1094" t="s">
        <v>258</v>
      </c>
      <c r="C585" s="1067"/>
      <c r="D585" s="361"/>
      <c r="E585" s="362" t="s">
        <v>216</v>
      </c>
      <c r="F585" s="47"/>
      <c r="G585" s="47"/>
      <c r="H585" s="47"/>
      <c r="I585" s="47"/>
      <c r="J585" s="193"/>
      <c r="K585" s="117"/>
      <c r="L585" s="117"/>
      <c r="M585" s="85"/>
      <c r="N585" s="118"/>
      <c r="O585" s="118"/>
      <c r="P585" s="119"/>
    </row>
    <row r="586" spans="1:16" x14ac:dyDescent="0.2">
      <c r="A586" s="47"/>
      <c r="B586" s="964" t="s">
        <v>232</v>
      </c>
      <c r="C586" s="1095"/>
      <c r="D586" s="1095"/>
      <c r="E586" s="1095"/>
      <c r="F586" s="246" t="s">
        <v>248</v>
      </c>
      <c r="G586" s="246"/>
      <c r="H586" s="292"/>
      <c r="I586" s="341"/>
      <c r="J586" s="342"/>
      <c r="K586" s="122"/>
    </row>
    <row r="587" spans="1:16" x14ac:dyDescent="0.2">
      <c r="A587" s="47"/>
      <c r="B587" s="1096" t="s">
        <v>259</v>
      </c>
      <c r="C587" s="1095"/>
      <c r="D587" s="1095"/>
      <c r="E587" s="343"/>
      <c r="F587" s="246"/>
      <c r="G587" s="246"/>
      <c r="H587" s="292"/>
      <c r="I587" s="341"/>
      <c r="J587" s="342"/>
      <c r="K587" s="78"/>
    </row>
    <row r="588" spans="1:16" ht="120.75" customHeight="1" x14ac:dyDescent="0.2">
      <c r="A588" s="47"/>
      <c r="B588" s="1062" t="s">
        <v>260</v>
      </c>
      <c r="C588" s="1083"/>
      <c r="D588" s="1083"/>
      <c r="E588" s="1083"/>
      <c r="F588" s="1083"/>
      <c r="G588" s="1083"/>
      <c r="H588" s="1083"/>
      <c r="I588" s="1083"/>
      <c r="J588" s="1103"/>
      <c r="K588" s="78"/>
    </row>
    <row r="589" spans="1:16" ht="33.75" customHeight="1" x14ac:dyDescent="0.2">
      <c r="A589" s="47"/>
      <c r="B589" s="1062" t="s">
        <v>261</v>
      </c>
      <c r="C589" s="1083"/>
      <c r="D589" s="1083"/>
      <c r="E589" s="1083"/>
      <c r="F589" s="1083"/>
      <c r="G589" s="1083"/>
      <c r="H589" s="1083"/>
      <c r="I589" s="1083"/>
      <c r="J589" s="1103"/>
      <c r="K589" s="78"/>
    </row>
    <row r="590" spans="1:16" x14ac:dyDescent="0.2">
      <c r="A590" s="47"/>
      <c r="B590" s="945" t="s">
        <v>178</v>
      </c>
      <c r="C590" s="946"/>
      <c r="D590" s="946"/>
      <c r="E590" s="283"/>
      <c r="F590" s="283"/>
      <c r="G590" s="283"/>
      <c r="H590" s="283"/>
      <c r="I590" s="341"/>
      <c r="J590" s="342"/>
    </row>
    <row r="591" spans="1:16" ht="24.95" customHeight="1" x14ac:dyDescent="0.2">
      <c r="A591" s="47" t="s">
        <v>13</v>
      </c>
      <c r="B591" s="938" t="s">
        <v>262</v>
      </c>
      <c r="C591" s="939"/>
      <c r="D591" s="939"/>
      <c r="E591" s="185">
        <v>0</v>
      </c>
      <c r="F591" s="283"/>
      <c r="G591" s="283"/>
      <c r="H591" s="185">
        <v>0</v>
      </c>
      <c r="I591" s="346" t="s">
        <v>26</v>
      </c>
      <c r="J591" s="342"/>
      <c r="K591" s="78"/>
    </row>
    <row r="592" spans="1:16" ht="10.5" customHeight="1" x14ac:dyDescent="0.2">
      <c r="A592" s="47" t="s">
        <v>13</v>
      </c>
      <c r="B592" s="938" t="s">
        <v>263</v>
      </c>
      <c r="C592" s="939"/>
      <c r="D592" s="939"/>
      <c r="E592" s="185">
        <v>1091</v>
      </c>
      <c r="F592" s="283"/>
      <c r="G592" s="283"/>
      <c r="H592" s="185">
        <v>1091</v>
      </c>
      <c r="I592" s="346" t="s">
        <v>26</v>
      </c>
      <c r="J592" s="342"/>
      <c r="K592" s="78"/>
    </row>
    <row r="593" spans="1:11" ht="33.75" customHeight="1" x14ac:dyDescent="0.2">
      <c r="A593" s="47" t="s">
        <v>13</v>
      </c>
      <c r="B593" s="938" t="s">
        <v>264</v>
      </c>
      <c r="C593" s="939"/>
      <c r="D593" s="939"/>
      <c r="E593" s="185">
        <v>108000</v>
      </c>
      <c r="F593" s="283"/>
      <c r="G593" s="283"/>
      <c r="H593" s="185">
        <v>108000</v>
      </c>
      <c r="I593" s="346" t="s">
        <v>26</v>
      </c>
      <c r="J593" s="342"/>
      <c r="K593" s="79"/>
    </row>
    <row r="594" spans="1:11" ht="10.5" customHeight="1" x14ac:dyDescent="0.2">
      <c r="A594" s="47" t="s">
        <v>13</v>
      </c>
      <c r="B594" s="938" t="s">
        <v>265</v>
      </c>
      <c r="C594" s="939"/>
      <c r="D594" s="939"/>
      <c r="E594" s="185">
        <v>10909</v>
      </c>
      <c r="F594" s="283"/>
      <c r="G594" s="283"/>
      <c r="H594" s="185">
        <f>ROUND(SUM(H592:H593)*0.1,0)</f>
        <v>10909</v>
      </c>
      <c r="I594" s="346" t="s">
        <v>26</v>
      </c>
      <c r="J594" s="342"/>
      <c r="K594" s="79"/>
    </row>
    <row r="595" spans="1:11" ht="12" thickBot="1" x14ac:dyDescent="0.25">
      <c r="A595" s="47"/>
      <c r="B595" s="296"/>
      <c r="C595" s="212"/>
      <c r="D595" s="363" t="s">
        <v>13</v>
      </c>
      <c r="E595" s="353">
        <f>SUBTOTAL(9,E591:E594)</f>
        <v>120000</v>
      </c>
      <c r="F595" s="283"/>
      <c r="G595" s="283"/>
      <c r="H595" s="283"/>
      <c r="I595" s="341"/>
      <c r="J595" s="342"/>
      <c r="K595" s="79"/>
    </row>
    <row r="596" spans="1:11" ht="12" thickTop="1" x14ac:dyDescent="0.2">
      <c r="A596" s="47"/>
      <c r="B596" s="307" t="s">
        <v>178</v>
      </c>
      <c r="C596" s="212"/>
      <c r="D596" s="283"/>
      <c r="E596" s="283"/>
      <c r="F596" s="283"/>
      <c r="G596" s="283"/>
      <c r="H596" s="283"/>
      <c r="I596" s="341"/>
      <c r="J596" s="342"/>
    </row>
    <row r="597" spans="1:11" ht="24.95" customHeight="1" x14ac:dyDescent="0.2">
      <c r="A597" s="47" t="s">
        <v>17</v>
      </c>
      <c r="B597" s="938" t="s">
        <v>266</v>
      </c>
      <c r="C597" s="939"/>
      <c r="D597" s="939"/>
      <c r="E597" s="185">
        <f>320000/5</f>
        <v>64000</v>
      </c>
      <c r="F597" s="283"/>
      <c r="G597" s="283"/>
      <c r="H597" s="185">
        <f>320000/5</f>
        <v>64000</v>
      </c>
      <c r="I597" s="346" t="s">
        <v>26</v>
      </c>
      <c r="J597" s="342"/>
      <c r="K597" s="78"/>
    </row>
    <row r="598" spans="1:11" x14ac:dyDescent="0.2">
      <c r="A598" s="47" t="s">
        <v>17</v>
      </c>
      <c r="B598" s="938" t="s">
        <v>263</v>
      </c>
      <c r="C598" s="939"/>
      <c r="D598" s="939"/>
      <c r="E598" s="185">
        <v>1091</v>
      </c>
      <c r="F598" s="283"/>
      <c r="G598" s="283"/>
      <c r="H598" s="185">
        <v>1091</v>
      </c>
      <c r="I598" s="346" t="s">
        <v>26</v>
      </c>
      <c r="J598" s="342"/>
      <c r="K598" s="78"/>
    </row>
    <row r="599" spans="1:11" x14ac:dyDescent="0.2">
      <c r="A599" s="47" t="s">
        <v>17</v>
      </c>
      <c r="B599" s="938" t="s">
        <v>264</v>
      </c>
      <c r="C599" s="939"/>
      <c r="D599" s="939"/>
      <c r="E599" s="185">
        <f>44000+18182</f>
        <v>62182</v>
      </c>
      <c r="F599" s="283"/>
      <c r="G599" s="283"/>
      <c r="H599" s="185">
        <f>44000+18182</f>
        <v>62182</v>
      </c>
      <c r="I599" s="346" t="s">
        <v>26</v>
      </c>
      <c r="J599" s="342"/>
      <c r="K599" s="79"/>
    </row>
    <row r="600" spans="1:11" x14ac:dyDescent="0.2">
      <c r="A600" s="47" t="s">
        <v>17</v>
      </c>
      <c r="B600" s="938" t="s">
        <v>265</v>
      </c>
      <c r="C600" s="939"/>
      <c r="D600" s="939"/>
      <c r="E600" s="185">
        <f>ROUNDDOWN(SUM(E597:E599)*0.1,0)</f>
        <v>12727</v>
      </c>
      <c r="F600" s="283"/>
      <c r="G600" s="283"/>
      <c r="H600" s="185">
        <f>ROUNDDOWN(SUM(H597:H599)*0.1,0)</f>
        <v>12727</v>
      </c>
      <c r="I600" s="346" t="s">
        <v>26</v>
      </c>
      <c r="J600" s="364"/>
      <c r="K600" s="79"/>
    </row>
    <row r="601" spans="1:11" ht="12" thickBot="1" x14ac:dyDescent="0.25">
      <c r="A601" s="47"/>
      <c r="B601" s="296"/>
      <c r="C601" s="212"/>
      <c r="D601" s="363" t="s">
        <v>17</v>
      </c>
      <c r="E601" s="353">
        <f>SUBTOTAL(9,E597:E600)</f>
        <v>140000</v>
      </c>
      <c r="F601" s="283"/>
      <c r="G601" s="283"/>
      <c r="H601" s="283"/>
      <c r="I601" s="341"/>
      <c r="J601" s="364"/>
      <c r="K601" s="79"/>
    </row>
    <row r="602" spans="1:11" ht="12" thickTop="1" x14ac:dyDescent="0.2">
      <c r="A602" s="47"/>
      <c r="B602" s="945" t="s">
        <v>178</v>
      </c>
      <c r="C602" s="946"/>
      <c r="D602" s="946"/>
      <c r="E602" s="283"/>
      <c r="F602" s="283"/>
      <c r="G602" s="283"/>
      <c r="H602" s="283"/>
      <c r="I602" s="341"/>
      <c r="J602" s="364"/>
    </row>
    <row r="603" spans="1:11" ht="24.95" customHeight="1" x14ac:dyDescent="0.2">
      <c r="A603" s="47" t="s">
        <v>18</v>
      </c>
      <c r="B603" s="938" t="s">
        <v>266</v>
      </c>
      <c r="C603" s="939"/>
      <c r="D603" s="939"/>
      <c r="E603" s="185">
        <f>320000/5</f>
        <v>64000</v>
      </c>
      <c r="F603" s="283"/>
      <c r="G603" s="283"/>
      <c r="H603" s="185">
        <f>320000/5</f>
        <v>64000</v>
      </c>
      <c r="I603" s="346" t="s">
        <v>26</v>
      </c>
      <c r="J603" s="364"/>
      <c r="K603" s="78"/>
    </row>
    <row r="604" spans="1:11" x14ac:dyDescent="0.2">
      <c r="A604" s="47" t="s">
        <v>18</v>
      </c>
      <c r="B604" s="938" t="s">
        <v>263</v>
      </c>
      <c r="C604" s="939"/>
      <c r="D604" s="939"/>
      <c r="E604" s="185">
        <v>1091</v>
      </c>
      <c r="F604" s="283"/>
      <c r="G604" s="283"/>
      <c r="H604" s="185">
        <v>1091</v>
      </c>
      <c r="I604" s="346" t="s">
        <v>26</v>
      </c>
      <c r="J604" s="342"/>
      <c r="K604" s="78"/>
    </row>
    <row r="605" spans="1:11" x14ac:dyDescent="0.2">
      <c r="A605" s="47" t="s">
        <v>18</v>
      </c>
      <c r="B605" s="938" t="s">
        <v>264</v>
      </c>
      <c r="C605" s="939"/>
      <c r="D605" s="939"/>
      <c r="E605" s="185">
        <f>44000+18182</f>
        <v>62182</v>
      </c>
      <c r="F605" s="283"/>
      <c r="G605" s="283"/>
      <c r="H605" s="185">
        <f>44000+18182</f>
        <v>62182</v>
      </c>
      <c r="I605" s="346" t="s">
        <v>26</v>
      </c>
      <c r="J605" s="342"/>
      <c r="K605" s="79"/>
    </row>
    <row r="606" spans="1:11" x14ac:dyDescent="0.2">
      <c r="A606" s="47" t="s">
        <v>18</v>
      </c>
      <c r="B606" s="938" t="s">
        <v>265</v>
      </c>
      <c r="C606" s="939"/>
      <c r="D606" s="939"/>
      <c r="E606" s="185">
        <f>ROUNDDOWN(SUM(E603:E605)*0.1,0)</f>
        <v>12727</v>
      </c>
      <c r="F606" s="283"/>
      <c r="G606" s="283"/>
      <c r="H606" s="185">
        <f>ROUNDDOWN(SUM(H603:H605)*0.1,0)</f>
        <v>12727</v>
      </c>
      <c r="I606" s="346" t="s">
        <v>26</v>
      </c>
      <c r="J606" s="342"/>
      <c r="K606" s="79"/>
    </row>
    <row r="607" spans="1:11" ht="12" thickBot="1" x14ac:dyDescent="0.25">
      <c r="A607" s="47"/>
      <c r="B607" s="296"/>
      <c r="C607" s="212"/>
      <c r="D607" s="363" t="s">
        <v>18</v>
      </c>
      <c r="E607" s="353">
        <f>SUBTOTAL(9,E603:E606)</f>
        <v>140000</v>
      </c>
      <c r="F607" s="283"/>
      <c r="G607" s="283"/>
      <c r="H607" s="283"/>
      <c r="I607" s="341"/>
      <c r="J607" s="342"/>
      <c r="K607" s="79"/>
    </row>
    <row r="608" spans="1:11" ht="12" thickTop="1" x14ac:dyDescent="0.2">
      <c r="A608" s="47"/>
      <c r="B608" s="945" t="s">
        <v>178</v>
      </c>
      <c r="C608" s="946"/>
      <c r="D608" s="946"/>
      <c r="E608" s="283"/>
      <c r="F608" s="283"/>
      <c r="G608" s="283"/>
      <c r="H608" s="283"/>
      <c r="I608" s="341"/>
      <c r="J608" s="342"/>
    </row>
    <row r="609" spans="1:11" ht="24.95" customHeight="1" x14ac:dyDescent="0.2">
      <c r="A609" s="47" t="s">
        <v>19</v>
      </c>
      <c r="B609" s="938" t="s">
        <v>266</v>
      </c>
      <c r="C609" s="939"/>
      <c r="D609" s="939"/>
      <c r="E609" s="185">
        <f>320000/5</f>
        <v>64000</v>
      </c>
      <c r="F609" s="283"/>
      <c r="G609" s="283"/>
      <c r="H609" s="185">
        <f>320000/5</f>
        <v>64000</v>
      </c>
      <c r="I609" s="346" t="s">
        <v>26</v>
      </c>
      <c r="J609" s="342"/>
      <c r="K609" s="78"/>
    </row>
    <row r="610" spans="1:11" x14ac:dyDescent="0.2">
      <c r="A610" s="47" t="s">
        <v>19</v>
      </c>
      <c r="B610" s="938" t="s">
        <v>263</v>
      </c>
      <c r="C610" s="939"/>
      <c r="D610" s="939"/>
      <c r="E610" s="185">
        <v>1091</v>
      </c>
      <c r="F610" s="283"/>
      <c r="G610" s="283"/>
      <c r="H610" s="185">
        <v>1091</v>
      </c>
      <c r="I610" s="346" t="s">
        <v>26</v>
      </c>
      <c r="J610" s="342"/>
      <c r="K610" s="78"/>
    </row>
    <row r="611" spans="1:11" x14ac:dyDescent="0.2">
      <c r="A611" s="47" t="s">
        <v>19</v>
      </c>
      <c r="B611" s="938" t="s">
        <v>264</v>
      </c>
      <c r="C611" s="939"/>
      <c r="D611" s="939"/>
      <c r="E611" s="185">
        <f>44000+18182</f>
        <v>62182</v>
      </c>
      <c r="F611" s="283"/>
      <c r="G611" s="283"/>
      <c r="H611" s="185">
        <f>44000+18182</f>
        <v>62182</v>
      </c>
      <c r="I611" s="346" t="s">
        <v>26</v>
      </c>
      <c r="J611" s="342"/>
      <c r="K611" s="79"/>
    </row>
    <row r="612" spans="1:11" x14ac:dyDescent="0.2">
      <c r="A612" s="47" t="s">
        <v>19</v>
      </c>
      <c r="B612" s="938" t="s">
        <v>265</v>
      </c>
      <c r="C612" s="939"/>
      <c r="D612" s="939"/>
      <c r="E612" s="185">
        <f>ROUNDDOWN(SUM(E609:E611)*0.1,0)</f>
        <v>12727</v>
      </c>
      <c r="F612" s="283"/>
      <c r="G612" s="283"/>
      <c r="H612" s="185">
        <f>ROUNDDOWN(SUM(H609:H611)*0.1,0)</f>
        <v>12727</v>
      </c>
      <c r="I612" s="346" t="s">
        <v>26</v>
      </c>
      <c r="J612" s="342"/>
      <c r="K612" s="79"/>
    </row>
    <row r="613" spans="1:11" ht="12" thickBot="1" x14ac:dyDescent="0.25">
      <c r="A613" s="47"/>
      <c r="B613" s="296"/>
      <c r="C613" s="212"/>
      <c r="D613" s="363" t="s">
        <v>19</v>
      </c>
      <c r="E613" s="353">
        <f>SUBTOTAL(9,E609:E612)</f>
        <v>140000</v>
      </c>
      <c r="F613" s="283"/>
      <c r="G613" s="283"/>
      <c r="H613" s="283"/>
      <c r="I613" s="341"/>
      <c r="J613" s="342"/>
      <c r="K613" s="79"/>
    </row>
    <row r="614" spans="1:11" ht="12" thickTop="1" x14ac:dyDescent="0.2">
      <c r="A614" s="47"/>
      <c r="B614" s="945" t="s">
        <v>178</v>
      </c>
      <c r="C614" s="946"/>
      <c r="D614" s="946"/>
      <c r="E614" s="283"/>
      <c r="F614" s="283"/>
      <c r="G614" s="283"/>
      <c r="H614" s="283"/>
      <c r="I614" s="341"/>
      <c r="J614" s="342"/>
    </row>
    <row r="615" spans="1:11" ht="24.95" customHeight="1" x14ac:dyDescent="0.2">
      <c r="A615" s="47" t="s">
        <v>20</v>
      </c>
      <c r="B615" s="938" t="s">
        <v>266</v>
      </c>
      <c r="C615" s="939"/>
      <c r="D615" s="939"/>
      <c r="E615" s="185">
        <f>320000/5</f>
        <v>64000</v>
      </c>
      <c r="F615" s="283"/>
      <c r="G615" s="283"/>
      <c r="H615" s="185">
        <f>320000/5</f>
        <v>64000</v>
      </c>
      <c r="I615" s="346" t="s">
        <v>26</v>
      </c>
      <c r="J615" s="342"/>
      <c r="K615" s="78"/>
    </row>
    <row r="616" spans="1:11" x14ac:dyDescent="0.2">
      <c r="A616" s="47" t="s">
        <v>20</v>
      </c>
      <c r="B616" s="938" t="s">
        <v>263</v>
      </c>
      <c r="C616" s="939"/>
      <c r="D616" s="939"/>
      <c r="E616" s="185">
        <v>1091</v>
      </c>
      <c r="F616" s="283"/>
      <c r="G616" s="283"/>
      <c r="H616" s="185">
        <v>1091</v>
      </c>
      <c r="I616" s="346" t="s">
        <v>26</v>
      </c>
      <c r="J616" s="342"/>
      <c r="K616" s="78"/>
    </row>
    <row r="617" spans="1:11" x14ac:dyDescent="0.2">
      <c r="A617" s="47" t="s">
        <v>20</v>
      </c>
      <c r="B617" s="938" t="s">
        <v>264</v>
      </c>
      <c r="C617" s="939"/>
      <c r="D617" s="939"/>
      <c r="E617" s="185">
        <f>44000+18182</f>
        <v>62182</v>
      </c>
      <c r="F617" s="283"/>
      <c r="G617" s="283"/>
      <c r="H617" s="185">
        <f>44000+18182</f>
        <v>62182</v>
      </c>
      <c r="I617" s="346" t="s">
        <v>26</v>
      </c>
      <c r="J617" s="342"/>
      <c r="K617" s="79"/>
    </row>
    <row r="618" spans="1:11" x14ac:dyDescent="0.2">
      <c r="A618" s="47" t="s">
        <v>20</v>
      </c>
      <c r="B618" s="938" t="s">
        <v>265</v>
      </c>
      <c r="C618" s="939"/>
      <c r="D618" s="939"/>
      <c r="E618" s="185">
        <f>ROUNDDOWN(SUM(E615:E617)*0.1,0)</f>
        <v>12727</v>
      </c>
      <c r="F618" s="283"/>
      <c r="G618" s="283"/>
      <c r="H618" s="185">
        <f>ROUNDDOWN(SUM(H615:H617)*0.1,0)</f>
        <v>12727</v>
      </c>
      <c r="I618" s="346" t="s">
        <v>26</v>
      </c>
      <c r="J618" s="342"/>
      <c r="K618" s="79"/>
    </row>
    <row r="619" spans="1:11" ht="12" thickBot="1" x14ac:dyDescent="0.25">
      <c r="A619" s="47"/>
      <c r="B619" s="296"/>
      <c r="C619" s="212"/>
      <c r="D619" s="363" t="s">
        <v>20</v>
      </c>
      <c r="E619" s="353">
        <f>SUBTOTAL(9,E615:E618)</f>
        <v>140000</v>
      </c>
      <c r="F619" s="283"/>
      <c r="G619" s="283"/>
      <c r="H619" s="283"/>
      <c r="I619" s="341"/>
      <c r="J619" s="342"/>
      <c r="K619" s="79"/>
    </row>
    <row r="620" spans="1:11" ht="12" thickTop="1" x14ac:dyDescent="0.2">
      <c r="A620" s="47"/>
      <c r="B620" s="296"/>
      <c r="C620" s="212"/>
      <c r="D620" s="283"/>
      <c r="E620" s="185"/>
      <c r="F620" s="283"/>
      <c r="G620" s="283"/>
      <c r="H620" s="283"/>
      <c r="I620" s="341"/>
      <c r="J620" s="342"/>
      <c r="K620" s="79"/>
    </row>
    <row r="621" spans="1:11" ht="12.75" customHeight="1" thickBot="1" x14ac:dyDescent="0.25">
      <c r="A621" s="47"/>
      <c r="B621" s="1089" t="s">
        <v>169</v>
      </c>
      <c r="C621" s="1090"/>
      <c r="D621" s="1090"/>
      <c r="E621" s="353">
        <f>SUBTOTAL(9,E591:E618)</f>
        <v>680000</v>
      </c>
      <c r="F621" s="283"/>
      <c r="G621" s="283"/>
      <c r="H621" s="283"/>
      <c r="I621" s="341"/>
      <c r="J621" s="342"/>
    </row>
    <row r="622" spans="1:11" ht="21.75" customHeight="1" thickTop="1" x14ac:dyDescent="0.2">
      <c r="A622" s="47"/>
      <c r="B622" s="1091" t="s">
        <v>267</v>
      </c>
      <c r="C622" s="1092"/>
      <c r="D622" s="1092"/>
      <c r="E622" s="1092"/>
      <c r="F622" s="1092"/>
      <c r="G622" s="1092"/>
      <c r="H622" s="1092"/>
      <c r="I622" s="1092"/>
      <c r="J622" s="1093"/>
      <c r="K622" s="78"/>
    </row>
    <row r="623" spans="1:11" x14ac:dyDescent="0.2">
      <c r="A623" s="47"/>
      <c r="B623" s="930" t="s">
        <v>268</v>
      </c>
      <c r="C623" s="930"/>
      <c r="D623" s="930"/>
      <c r="E623" s="930"/>
      <c r="F623" s="930"/>
      <c r="G623" s="930"/>
      <c r="H623" s="930"/>
      <c r="I623" s="930"/>
      <c r="J623" s="125">
        <f>ROUND(SUM(H631,H640,H643:H645),0)</f>
        <v>114039</v>
      </c>
      <c r="K623" s="76"/>
    </row>
    <row r="624" spans="1:11" ht="12" customHeight="1" x14ac:dyDescent="0.2">
      <c r="A624" s="47"/>
      <c r="B624" s="931" t="s">
        <v>269</v>
      </c>
      <c r="C624" s="931"/>
      <c r="D624" s="931"/>
      <c r="E624" s="931"/>
      <c r="F624" s="931"/>
      <c r="G624" s="931"/>
      <c r="H624" s="931"/>
      <c r="I624" s="931"/>
      <c r="J624" s="931"/>
    </row>
    <row r="625" spans="1:14" x14ac:dyDescent="0.2">
      <c r="A625" s="47"/>
      <c r="B625" s="1044" t="s">
        <v>270</v>
      </c>
      <c r="C625" s="1045"/>
      <c r="D625" s="1045"/>
      <c r="E625" s="365"/>
      <c r="F625" s="358"/>
      <c r="G625" s="358"/>
      <c r="H625" s="239"/>
      <c r="I625" s="366"/>
      <c r="J625" s="367"/>
      <c r="L625" s="75" t="s">
        <v>271</v>
      </c>
    </row>
    <row r="626" spans="1:14" ht="12.75" customHeight="1" x14ac:dyDescent="0.2">
      <c r="A626" s="47"/>
      <c r="B626" s="368"/>
      <c r="C626" s="369"/>
      <c r="D626" s="47"/>
      <c r="E626" s="47"/>
      <c r="F626" s="283"/>
      <c r="G626" s="370" t="s">
        <v>136</v>
      </c>
      <c r="H626" s="83">
        <v>0</v>
      </c>
      <c r="I626" s="214" t="s">
        <v>15</v>
      </c>
      <c r="J626" s="273"/>
      <c r="L626" s="75" t="s">
        <v>271</v>
      </c>
    </row>
    <row r="627" spans="1:14" x14ac:dyDescent="0.2">
      <c r="A627" s="47"/>
      <c r="B627" s="371"/>
      <c r="C627" s="372"/>
      <c r="D627" s="47"/>
      <c r="E627" s="47"/>
      <c r="F627" s="283"/>
      <c r="G627" s="370" t="s">
        <v>137</v>
      </c>
      <c r="H627" s="83">
        <v>23500</v>
      </c>
      <c r="I627" s="214" t="s">
        <v>15</v>
      </c>
      <c r="J627" s="273"/>
      <c r="L627" s="75" t="s">
        <v>271</v>
      </c>
    </row>
    <row r="628" spans="1:14" x14ac:dyDescent="0.2">
      <c r="A628" s="47"/>
      <c r="B628" s="371"/>
      <c r="C628" s="372"/>
      <c r="D628" s="47"/>
      <c r="E628" s="47"/>
      <c r="F628" s="283"/>
      <c r="G628" s="370" t="s">
        <v>138</v>
      </c>
      <c r="H628" s="83">
        <v>25000</v>
      </c>
      <c r="I628" s="214" t="s">
        <v>15</v>
      </c>
      <c r="J628" s="273"/>
      <c r="L628" s="75" t="s">
        <v>271</v>
      </c>
    </row>
    <row r="629" spans="1:14" x14ac:dyDescent="0.2">
      <c r="A629" s="47"/>
      <c r="B629" s="371"/>
      <c r="C629" s="372"/>
      <c r="D629" s="47"/>
      <c r="E629" s="47"/>
      <c r="F629" s="283"/>
      <c r="G629" s="370" t="s">
        <v>139</v>
      </c>
      <c r="H629" s="83">
        <v>24000</v>
      </c>
      <c r="I629" s="214" t="s">
        <v>15</v>
      </c>
      <c r="J629" s="273"/>
      <c r="L629" s="75" t="s">
        <v>271</v>
      </c>
    </row>
    <row r="630" spans="1:14" x14ac:dyDescent="0.2">
      <c r="A630" s="47"/>
      <c r="B630" s="371"/>
      <c r="C630" s="372"/>
      <c r="D630" s="47"/>
      <c r="E630" s="47"/>
      <c r="F630" s="283"/>
      <c r="G630" s="370" t="s">
        <v>140</v>
      </c>
      <c r="H630" s="83">
        <v>21356</v>
      </c>
      <c r="I630" s="214" t="s">
        <v>15</v>
      </c>
      <c r="J630" s="273"/>
      <c r="L630" s="75" t="s">
        <v>271</v>
      </c>
    </row>
    <row r="631" spans="1:14" x14ac:dyDescent="0.2">
      <c r="A631" s="47"/>
      <c r="B631" s="373"/>
      <c r="C631" s="374"/>
      <c r="D631" s="47"/>
      <c r="E631" s="47"/>
      <c r="F631" s="283"/>
      <c r="G631" s="374"/>
      <c r="H631" s="83">
        <f>SUM(H626:H630)</f>
        <v>93856</v>
      </c>
      <c r="I631" s="214"/>
      <c r="J631" s="273"/>
      <c r="L631" s="75" t="s">
        <v>271</v>
      </c>
    </row>
    <row r="632" spans="1:14" ht="24.95" customHeight="1" x14ac:dyDescent="0.2">
      <c r="A632" s="47"/>
      <c r="B632" s="1046" t="s">
        <v>272</v>
      </c>
      <c r="C632" s="1047"/>
      <c r="D632" s="1047"/>
      <c r="E632" s="1047"/>
      <c r="F632" s="1047"/>
      <c r="G632" s="1047"/>
      <c r="H632" s="1047"/>
      <c r="I632" s="1047"/>
      <c r="J632" s="1048"/>
      <c r="M632" s="1097" t="s">
        <v>273</v>
      </c>
      <c r="N632" s="1097"/>
    </row>
    <row r="633" spans="1:14" ht="24.95" customHeight="1" x14ac:dyDescent="0.2">
      <c r="A633" s="47"/>
      <c r="B633" s="195"/>
      <c r="C633" s="195"/>
      <c r="D633" s="195"/>
      <c r="E633" s="195"/>
      <c r="F633" s="195"/>
      <c r="G633" s="195"/>
      <c r="H633" s="195"/>
      <c r="I633" s="195"/>
      <c r="J633" s="196"/>
      <c r="M633" s="399"/>
      <c r="N633" s="400"/>
    </row>
    <row r="634" spans="1:14" x14ac:dyDescent="0.2">
      <c r="A634" s="47"/>
      <c r="B634" s="1044" t="s">
        <v>274</v>
      </c>
      <c r="C634" s="1045"/>
      <c r="D634" s="1045"/>
      <c r="E634" s="239"/>
      <c r="F634" s="358"/>
      <c r="G634" s="358"/>
      <c r="H634" s="239"/>
      <c r="I634" s="366"/>
      <c r="J634" s="367"/>
      <c r="L634" s="75" t="s">
        <v>271</v>
      </c>
      <c r="M634" s="400" t="s">
        <v>275</v>
      </c>
      <c r="N634" s="401">
        <f>ROUND(SUMIF($I$7:$I$322,"A1",$H$7:$H$322),0)</f>
        <v>18358992</v>
      </c>
    </row>
    <row r="635" spans="1:14" x14ac:dyDescent="0.2">
      <c r="A635" s="47"/>
      <c r="B635" s="373"/>
      <c r="C635" s="374"/>
      <c r="D635" s="47"/>
      <c r="E635" s="47"/>
      <c r="F635" s="283"/>
      <c r="G635" s="370" t="s">
        <v>136</v>
      </c>
      <c r="H635" s="84">
        <v>0</v>
      </c>
      <c r="I635" s="214" t="s">
        <v>15</v>
      </c>
      <c r="J635" s="273"/>
      <c r="L635" s="75" t="s">
        <v>271</v>
      </c>
      <c r="M635" s="400" t="s">
        <v>276</v>
      </c>
      <c r="N635" s="401">
        <f>ROUND(SUMIFS($H$7:$H$322,$A$7:$A$322,"YEAR 1", $I$7:$I$322, "A2"),0)</f>
        <v>45909</v>
      </c>
    </row>
    <row r="636" spans="1:14" x14ac:dyDescent="0.2">
      <c r="A636" s="47"/>
      <c r="B636" s="373"/>
      <c r="C636" s="374"/>
      <c r="D636" s="47"/>
      <c r="E636" s="47"/>
      <c r="F636" s="283"/>
      <c r="G636" s="370" t="s">
        <v>137</v>
      </c>
      <c r="H636" s="84">
        <v>7547.75</v>
      </c>
      <c r="I636" s="214" t="s">
        <v>15</v>
      </c>
      <c r="J636" s="273"/>
      <c r="L636" s="75" t="s">
        <v>271</v>
      </c>
      <c r="M636" s="400" t="s">
        <v>277</v>
      </c>
      <c r="N636" s="401">
        <f>ROUND(SUMIFS($H$7:$H$322,$A$7:$A$322,"&lt;&gt;YEAR 1", $I$7:$I$322, "A2"),0)</f>
        <v>2625570</v>
      </c>
    </row>
    <row r="637" spans="1:14" ht="12" thickBot="1" x14ac:dyDescent="0.25">
      <c r="A637" s="47"/>
      <c r="B637" s="373"/>
      <c r="C637" s="374"/>
      <c r="D637" s="47"/>
      <c r="E637" s="47"/>
      <c r="F637" s="283"/>
      <c r="G637" s="370" t="s">
        <v>138</v>
      </c>
      <c r="H637" s="84">
        <v>3171.75</v>
      </c>
      <c r="I637" s="214" t="s">
        <v>15</v>
      </c>
      <c r="J637" s="273"/>
      <c r="L637" s="75" t="s">
        <v>271</v>
      </c>
      <c r="M637" s="400" t="s">
        <v>278</v>
      </c>
      <c r="N637" s="402">
        <f>SUM(N634:N636)</f>
        <v>21030471</v>
      </c>
    </row>
    <row r="638" spans="1:14" ht="12" thickTop="1" x14ac:dyDescent="0.2">
      <c r="A638" s="47"/>
      <c r="B638" s="373"/>
      <c r="C638" s="374"/>
      <c r="D638" s="47"/>
      <c r="E638" s="47"/>
      <c r="F638" s="283"/>
      <c r="G638" s="370" t="s">
        <v>139</v>
      </c>
      <c r="H638" s="84">
        <v>3171.75</v>
      </c>
      <c r="I638" s="214" t="s">
        <v>15</v>
      </c>
      <c r="J638" s="273"/>
      <c r="L638" s="75" t="s">
        <v>271</v>
      </c>
      <c r="M638" s="400"/>
      <c r="N638" s="403"/>
    </row>
    <row r="639" spans="1:14" x14ac:dyDescent="0.2">
      <c r="A639" s="47"/>
      <c r="B639" s="373"/>
      <c r="C639" s="374"/>
      <c r="D639" s="47"/>
      <c r="E639" s="47"/>
      <c r="F639" s="283"/>
      <c r="G639" s="370" t="s">
        <v>140</v>
      </c>
      <c r="H639" s="84">
        <v>3171.75</v>
      </c>
      <c r="I639" s="214" t="s">
        <v>15</v>
      </c>
      <c r="J639" s="273"/>
      <c r="L639" s="75" t="s">
        <v>271</v>
      </c>
      <c r="M639" s="400" t="s">
        <v>279</v>
      </c>
      <c r="N639" s="401">
        <f>ROUND(SUMIF($I$323:$I$392,"A1",$H$323:$H$392),0)</f>
        <v>42117</v>
      </c>
    </row>
    <row r="640" spans="1:14" x14ac:dyDescent="0.2">
      <c r="A640" s="47"/>
      <c r="B640" s="373"/>
      <c r="C640" s="374"/>
      <c r="D640" s="47"/>
      <c r="E640" s="47"/>
      <c r="F640" s="283"/>
      <c r="G640" s="370" t="s">
        <v>141</v>
      </c>
      <c r="H640" s="84">
        <f>SUM(H635:H639)</f>
        <v>17063</v>
      </c>
      <c r="I640" s="214"/>
      <c r="J640" s="273"/>
      <c r="L640" s="75" t="s">
        <v>271</v>
      </c>
      <c r="M640" s="400" t="s">
        <v>280</v>
      </c>
      <c r="N640" s="401">
        <f>ROUND(SUMIFS($H$323:$H$392,$A$323:$A$392,"YEAR 1", $I$323:$I$392, "A2"),0)</f>
        <v>2641</v>
      </c>
    </row>
    <row r="641" spans="1:16" ht="12" thickBot="1" x14ac:dyDescent="0.25">
      <c r="A641" s="47"/>
      <c r="B641" s="1046" t="s">
        <v>281</v>
      </c>
      <c r="C641" s="1047"/>
      <c r="D641" s="1047"/>
      <c r="E641" s="1047"/>
      <c r="F641" s="1047"/>
      <c r="G641" s="1047"/>
      <c r="H641" s="1047"/>
      <c r="I641" s="210"/>
      <c r="J641" s="312"/>
      <c r="M641" s="400" t="s">
        <v>282</v>
      </c>
      <c r="N641" s="402">
        <f>SUM(N639:N640)</f>
        <v>44758</v>
      </c>
    </row>
    <row r="642" spans="1:16" ht="12" thickTop="1" x14ac:dyDescent="0.2">
      <c r="A642" s="47"/>
      <c r="B642" s="274"/>
      <c r="C642" s="195"/>
      <c r="D642" s="274"/>
      <c r="E642" s="274"/>
      <c r="F642" s="274"/>
      <c r="G642" s="274"/>
      <c r="H642" s="274"/>
      <c r="I642" s="275"/>
      <c r="J642" s="276"/>
      <c r="M642" s="400"/>
      <c r="N642" s="403"/>
    </row>
    <row r="643" spans="1:16" ht="33.75" x14ac:dyDescent="0.2">
      <c r="A643" s="47"/>
      <c r="B643" s="375" t="s">
        <v>283</v>
      </c>
      <c r="C643" s="376"/>
      <c r="D643" s="377"/>
      <c r="E643" s="376"/>
      <c r="F643" s="377"/>
      <c r="G643" s="377"/>
      <c r="H643" s="378">
        <v>1200</v>
      </c>
      <c r="I643" s="379" t="s">
        <v>15</v>
      </c>
      <c r="J643" s="380"/>
      <c r="K643" s="79"/>
      <c r="L643" s="75" t="s">
        <v>134</v>
      </c>
      <c r="M643" s="400" t="s">
        <v>284</v>
      </c>
      <c r="N643" s="401">
        <f>ROUND(SUMIF($I$394:$I$397,"A1",$H$394:$H$397),0)</f>
        <v>2828</v>
      </c>
    </row>
    <row r="644" spans="1:16" ht="12" thickBot="1" x14ac:dyDescent="0.25">
      <c r="A644" s="47"/>
      <c r="B644" s="375" t="s">
        <v>285</v>
      </c>
      <c r="C644" s="376"/>
      <c r="D644" s="377"/>
      <c r="E644" s="376"/>
      <c r="F644" s="377"/>
      <c r="G644" s="377"/>
      <c r="H644" s="378">
        <v>320</v>
      </c>
      <c r="I644" s="379" t="s">
        <v>15</v>
      </c>
      <c r="J644" s="380"/>
      <c r="L644" s="75" t="s">
        <v>134</v>
      </c>
      <c r="M644" s="400" t="s">
        <v>286</v>
      </c>
      <c r="N644" s="402">
        <f>SUM(N643)</f>
        <v>2828</v>
      </c>
    </row>
    <row r="645" spans="1:16" ht="34.5" thickTop="1" x14ac:dyDescent="0.2">
      <c r="A645" s="47"/>
      <c r="B645" s="375" t="s">
        <v>287</v>
      </c>
      <c r="C645" s="376"/>
      <c r="D645" s="377"/>
      <c r="E645" s="376"/>
      <c r="F645" s="377"/>
      <c r="G645" s="377"/>
      <c r="H645" s="378">
        <v>1600</v>
      </c>
      <c r="I645" s="379" t="s">
        <v>15</v>
      </c>
      <c r="J645" s="380"/>
      <c r="L645" s="75" t="s">
        <v>134</v>
      </c>
      <c r="M645" s="400"/>
      <c r="N645" s="403"/>
    </row>
    <row r="646" spans="1:16" ht="11.25" customHeight="1" x14ac:dyDescent="0.2">
      <c r="A646" s="47"/>
      <c r="B646" s="932" t="s">
        <v>288</v>
      </c>
      <c r="C646" s="933"/>
      <c r="D646" s="933"/>
      <c r="E646" s="933"/>
      <c r="F646" s="933"/>
      <c r="G646" s="933"/>
      <c r="H646" s="933"/>
      <c r="I646" s="933"/>
      <c r="J646" s="934"/>
      <c r="M646" s="400" t="s">
        <v>289</v>
      </c>
      <c r="N646" s="401">
        <f>SUMIF($I$402:$I$622,"A1",$E$402:$E$622)</f>
        <v>468807</v>
      </c>
    </row>
    <row r="647" spans="1:16" x14ac:dyDescent="0.2">
      <c r="A647" s="47"/>
      <c r="B647" s="930" t="s">
        <v>290</v>
      </c>
      <c r="C647" s="930"/>
      <c r="D647" s="930"/>
      <c r="E647" s="930"/>
      <c r="F647" s="930"/>
      <c r="G647" s="930"/>
      <c r="H647" s="930"/>
      <c r="I647" s="930"/>
      <c r="J647" s="125">
        <f>ROUND(SUM(H649:H660),0)</f>
        <v>465941</v>
      </c>
      <c r="M647" s="400" t="s">
        <v>291</v>
      </c>
      <c r="N647" s="401">
        <f>ROUND(SUMIFS($E$402:$E$622,$A$402:$A$622,"YEAR 1", $I$402:$I$622, "A2"),0)</f>
        <v>998055</v>
      </c>
    </row>
    <row r="648" spans="1:16" x14ac:dyDescent="0.2">
      <c r="A648" s="47"/>
      <c r="B648" s="1031" t="s">
        <v>292</v>
      </c>
      <c r="C648" s="1031"/>
      <c r="D648" s="1031"/>
      <c r="E648" s="1031"/>
      <c r="F648" s="1031"/>
      <c r="G648" s="1031"/>
      <c r="H648" s="1031"/>
      <c r="I648" s="170"/>
      <c r="J648" s="171"/>
      <c r="M648" s="400" t="s">
        <v>293</v>
      </c>
      <c r="N648" s="401">
        <f>ROUND(SUMIFS($E$402:$E$622,$A$402:$A$622,"&lt;&gt;YEAR 1", $I$402:$I$622, "A2"),0)</f>
        <v>2001002</v>
      </c>
      <c r="P648" s="123"/>
    </row>
    <row r="649" spans="1:16" ht="12" thickBot="1" x14ac:dyDescent="0.25">
      <c r="A649" s="47"/>
      <c r="B649" s="381" t="s">
        <v>294</v>
      </c>
      <c r="C649" s="382"/>
      <c r="D649" s="383"/>
      <c r="E649" s="382"/>
      <c r="F649" s="384"/>
      <c r="G649" s="384"/>
      <c r="H649" s="383">
        <v>300000</v>
      </c>
      <c r="I649" s="188" t="s">
        <v>15</v>
      </c>
      <c r="J649" s="385" t="s">
        <v>295</v>
      </c>
      <c r="L649" s="75" t="s">
        <v>271</v>
      </c>
      <c r="M649" s="400" t="s">
        <v>296</v>
      </c>
      <c r="N649" s="402">
        <f>SUM(N646:N648)</f>
        <v>3467864</v>
      </c>
    </row>
    <row r="650" spans="1:16" ht="12" thickTop="1" x14ac:dyDescent="0.2">
      <c r="A650" s="47"/>
      <c r="B650" s="386" t="s">
        <v>297</v>
      </c>
      <c r="C650" s="387"/>
      <c r="D650" s="383"/>
      <c r="E650" s="382"/>
      <c r="F650" s="384"/>
      <c r="G650" s="384" t="s">
        <v>298</v>
      </c>
      <c r="H650" s="383"/>
      <c r="I650" s="188"/>
      <c r="J650" s="385" t="s">
        <v>295</v>
      </c>
      <c r="M650" s="400"/>
      <c r="N650" s="403"/>
    </row>
    <row r="651" spans="1:16" ht="37.5" customHeight="1" x14ac:dyDescent="0.2">
      <c r="A651" s="47"/>
      <c r="B651" s="1101" t="s">
        <v>299</v>
      </c>
      <c r="C651" s="1101"/>
      <c r="D651" s="1101"/>
      <c r="E651" s="1101"/>
      <c r="F651" s="1101"/>
      <c r="G651" s="1101"/>
      <c r="H651" s="388">
        <f>111240+3000-104</f>
        <v>114136</v>
      </c>
      <c r="I651" s="188" t="s">
        <v>15</v>
      </c>
      <c r="J651" s="389"/>
      <c r="L651" s="75" t="s">
        <v>271</v>
      </c>
      <c r="M651" s="400" t="s">
        <v>300</v>
      </c>
      <c r="N651" s="401">
        <f>ROUND(SUMIF($I$624:$I$646,"A1",$H$624:$H$646),0)</f>
        <v>114039</v>
      </c>
    </row>
    <row r="652" spans="1:16" ht="12" thickBot="1" x14ac:dyDescent="0.25">
      <c r="A652" s="47"/>
      <c r="B652" s="1081" t="s">
        <v>301</v>
      </c>
      <c r="C652" s="1081"/>
      <c r="D652" s="1081"/>
      <c r="E652" s="1081"/>
      <c r="F652" s="1081"/>
      <c r="G652" s="1081"/>
      <c r="H652" s="1081"/>
      <c r="I652" s="1081"/>
      <c r="J652" s="1081"/>
      <c r="M652" s="400" t="s">
        <v>302</v>
      </c>
      <c r="N652" s="402">
        <f>SUM(N651)</f>
        <v>114039</v>
      </c>
    </row>
    <row r="653" spans="1:16" ht="12" thickTop="1" x14ac:dyDescent="0.2">
      <c r="A653" s="47"/>
      <c r="B653" s="222" t="s">
        <v>303</v>
      </c>
      <c r="C653" s="47"/>
      <c r="D653" s="185"/>
      <c r="E653" s="185"/>
      <c r="F653" s="222"/>
      <c r="G653" s="222"/>
      <c r="H653" s="185">
        <v>37970</v>
      </c>
      <c r="I653" s="188" t="s">
        <v>15</v>
      </c>
      <c r="J653" s="237"/>
      <c r="K653" s="78"/>
      <c r="L653" s="75" t="s">
        <v>304</v>
      </c>
      <c r="M653" s="400"/>
      <c r="N653" s="403"/>
    </row>
    <row r="654" spans="1:16" x14ac:dyDescent="0.2">
      <c r="A654" s="47"/>
      <c r="B654" s="222" t="s">
        <v>305</v>
      </c>
      <c r="C654" s="47"/>
      <c r="D654" s="185"/>
      <c r="E654" s="390"/>
      <c r="F654" s="222"/>
      <c r="G654" s="222"/>
      <c r="H654" s="185">
        <v>12100</v>
      </c>
      <c r="I654" s="188" t="s">
        <v>15</v>
      </c>
      <c r="J654" s="237"/>
      <c r="K654" s="78"/>
      <c r="L654" s="75" t="s">
        <v>304</v>
      </c>
      <c r="M654" s="400" t="s">
        <v>306</v>
      </c>
      <c r="N654" s="401">
        <f>ROUND(SUMIF($I$648:$I$660,"A1",$H$648:$H$660),0)</f>
        <v>465941</v>
      </c>
    </row>
    <row r="655" spans="1:16" ht="25.5" customHeight="1" thickBot="1" x14ac:dyDescent="0.25">
      <c r="A655" s="47"/>
      <c r="B655" s="939" t="s">
        <v>307</v>
      </c>
      <c r="C655" s="939"/>
      <c r="D655" s="939"/>
      <c r="E655" s="939"/>
      <c r="F655" s="939"/>
      <c r="G655" s="939"/>
      <c r="H655" s="939"/>
      <c r="I655" s="939"/>
      <c r="J655" s="939"/>
      <c r="K655" s="78"/>
      <c r="M655" s="400" t="s">
        <v>308</v>
      </c>
      <c r="N655" s="402">
        <f>SUM(N654)</f>
        <v>465941</v>
      </c>
    </row>
    <row r="656" spans="1:16" ht="12" thickTop="1" x14ac:dyDescent="0.2">
      <c r="A656" s="47"/>
      <c r="B656" s="391" t="s">
        <v>309</v>
      </c>
      <c r="C656" s="47"/>
      <c r="D656" s="185"/>
      <c r="E656" s="185"/>
      <c r="F656" s="222"/>
      <c r="G656" s="222"/>
      <c r="H656" s="392">
        <v>1735</v>
      </c>
      <c r="I656" s="188" t="s">
        <v>15</v>
      </c>
      <c r="J656" s="237"/>
      <c r="L656" s="75" t="s">
        <v>134</v>
      </c>
      <c r="M656" s="404"/>
      <c r="N656" s="398"/>
    </row>
    <row r="657" spans="1:14" x14ac:dyDescent="0.2">
      <c r="A657" s="47"/>
      <c r="B657" s="939" t="s">
        <v>310</v>
      </c>
      <c r="C657" s="939"/>
      <c r="D657" s="939"/>
      <c r="E657" s="939"/>
      <c r="F657" s="939"/>
      <c r="G657" s="939"/>
      <c r="H657" s="939"/>
      <c r="I657" s="214"/>
      <c r="J657" s="393"/>
      <c r="M657" s="404"/>
      <c r="N657" s="398"/>
    </row>
    <row r="658" spans="1:14" x14ac:dyDescent="0.2">
      <c r="A658" s="47"/>
      <c r="B658" s="212"/>
      <c r="C658" s="185"/>
      <c r="D658" s="185"/>
      <c r="E658" s="246"/>
      <c r="F658" s="361"/>
      <c r="G658" s="361"/>
      <c r="H658" s="361"/>
      <c r="I658" s="177"/>
      <c r="J658" s="394"/>
      <c r="K658" s="78"/>
      <c r="M658" s="404"/>
      <c r="N658" s="398"/>
    </row>
    <row r="659" spans="1:14" x14ac:dyDescent="0.2">
      <c r="A659" s="47"/>
      <c r="B659" s="939" t="s">
        <v>311</v>
      </c>
      <c r="C659" s="939"/>
      <c r="D659" s="939"/>
      <c r="E659" s="939"/>
      <c r="F659" s="939"/>
      <c r="G659" s="939"/>
      <c r="H659" s="939"/>
      <c r="I659" s="214"/>
      <c r="J659" s="393"/>
      <c r="K659" s="78"/>
      <c r="M659" s="400" t="s">
        <v>312</v>
      </c>
      <c r="N659" s="405">
        <f>ROUND(SUM(N654,N651,N643,N639,N634)*0.1,0)</f>
        <v>1898392</v>
      </c>
    </row>
    <row r="660" spans="1:14" x14ac:dyDescent="0.2">
      <c r="A660" s="47"/>
      <c r="B660" s="212"/>
      <c r="C660" s="185"/>
      <c r="D660" s="185"/>
      <c r="E660" s="246"/>
      <c r="F660" s="361"/>
      <c r="G660" s="361"/>
      <c r="H660" s="361"/>
      <c r="I660" s="177"/>
      <c r="J660" s="394"/>
      <c r="K660" s="78"/>
      <c r="M660" s="400" t="s">
        <v>313</v>
      </c>
      <c r="N660" s="405">
        <f>ROUND(SUM(N635,N640)*0.1,0)</f>
        <v>4855</v>
      </c>
    </row>
    <row r="661" spans="1:14" ht="13.5" customHeight="1" x14ac:dyDescent="0.2">
      <c r="A661" s="47"/>
      <c r="B661" s="1099" t="s">
        <v>314</v>
      </c>
      <c r="C661" s="1099"/>
      <c r="D661" s="1099"/>
      <c r="E661" s="1099"/>
      <c r="F661" s="1099"/>
      <c r="G661" s="1099"/>
      <c r="H661" s="1099"/>
      <c r="I661" s="1099"/>
      <c r="J661" s="238">
        <f>J4+J322+J398+J393+J402+J623+J647</f>
        <v>25125901</v>
      </c>
      <c r="K661" s="78"/>
      <c r="M661" s="400" t="s">
        <v>315</v>
      </c>
      <c r="N661" s="405">
        <f>ROUND(SUM(N636*0.1),0)</f>
        <v>262557</v>
      </c>
    </row>
    <row r="662" spans="1:14" ht="12" thickBot="1" x14ac:dyDescent="0.25">
      <c r="A662" s="47"/>
      <c r="B662" s="939" t="s">
        <v>316</v>
      </c>
      <c r="C662" s="939"/>
      <c r="D662" s="939"/>
      <c r="E662" s="939"/>
      <c r="F662" s="939"/>
      <c r="G662" s="1102" t="s">
        <v>317</v>
      </c>
      <c r="H662" s="1102"/>
      <c r="I662" s="93">
        <v>0.1</v>
      </c>
      <c r="J662" s="395"/>
      <c r="K662" s="78"/>
      <c r="M662" s="400" t="s">
        <v>318</v>
      </c>
      <c r="N662" s="406">
        <f>ROUNDUP(SUM(N659:N661),0)</f>
        <v>2165804</v>
      </c>
    </row>
    <row r="663" spans="1:14" ht="13.5" customHeight="1" thickTop="1" x14ac:dyDescent="0.2">
      <c r="A663" s="47"/>
      <c r="B663" s="930" t="s">
        <v>319</v>
      </c>
      <c r="C663" s="930"/>
      <c r="D663" s="930"/>
      <c r="E663" s="930"/>
      <c r="F663" s="930"/>
      <c r="G663" s="930"/>
      <c r="H663" s="930"/>
      <c r="I663" s="930"/>
      <c r="J663" s="238">
        <f>ROUND((J661-J402)*I662,0)</f>
        <v>2165804</v>
      </c>
      <c r="M663" s="404"/>
      <c r="N663" s="398"/>
    </row>
    <row r="664" spans="1:14" ht="11.25" customHeight="1" x14ac:dyDescent="0.2">
      <c r="A664" s="47"/>
      <c r="B664" s="47"/>
      <c r="C664" s="213"/>
      <c r="D664" s="213"/>
      <c r="E664" s="213"/>
      <c r="F664" s="213"/>
      <c r="G664" s="213"/>
      <c r="H664" s="213"/>
      <c r="I664" s="214"/>
      <c r="J664" s="393"/>
      <c r="K664" s="78"/>
      <c r="M664" s="400" t="s">
        <v>320</v>
      </c>
      <c r="N664" s="407">
        <f>SUM(N662,N655,N652,N649,N644,N641,N637)</f>
        <v>27291705</v>
      </c>
    </row>
    <row r="665" spans="1:14" ht="13.5" customHeight="1" thickBot="1" x14ac:dyDescent="0.25">
      <c r="A665" s="47"/>
      <c r="B665" s="1100" t="s">
        <v>321</v>
      </c>
      <c r="C665" s="1100"/>
      <c r="D665" s="1100"/>
      <c r="E665" s="1100"/>
      <c r="F665" s="1100"/>
      <c r="G665" s="1100"/>
      <c r="H665" s="1100"/>
      <c r="I665" s="1100"/>
      <c r="J665" s="396">
        <f>ROUND(SUM(J663+J661),0)</f>
        <v>27291705</v>
      </c>
      <c r="K665" s="79"/>
      <c r="M665" s="400" t="s">
        <v>322</v>
      </c>
      <c r="N665" s="407">
        <f>N664-J665</f>
        <v>0</v>
      </c>
    </row>
    <row r="666" spans="1:14" ht="12" thickTop="1" x14ac:dyDescent="0.2">
      <c r="A666" s="47"/>
      <c r="B666" s="222"/>
      <c r="C666" s="222"/>
      <c r="D666" s="222"/>
      <c r="E666" s="222"/>
      <c r="F666" s="222"/>
      <c r="G666" s="222"/>
      <c r="H666" s="47"/>
      <c r="I666" s="190"/>
      <c r="J666" s="397"/>
    </row>
    <row r="667" spans="1:14" ht="12" customHeight="1" x14ac:dyDescent="0.2">
      <c r="A667" s="47"/>
      <c r="B667" s="411"/>
      <c r="C667" s="411"/>
      <c r="D667" s="411"/>
      <c r="E667" s="411"/>
      <c r="F667" s="411"/>
      <c r="G667" s="411"/>
      <c r="H667" s="398"/>
    </row>
    <row r="668" spans="1:14" x14ac:dyDescent="0.2">
      <c r="A668" s="47"/>
      <c r="B668" s="411"/>
      <c r="C668" s="411"/>
      <c r="D668" s="411"/>
      <c r="E668" s="411"/>
      <c r="F668" s="411"/>
      <c r="G668" s="411"/>
      <c r="H668" s="398"/>
      <c r="I668" s="412" t="s">
        <v>15</v>
      </c>
      <c r="J668" s="413">
        <v>21837654</v>
      </c>
      <c r="K668" s="105"/>
    </row>
    <row r="669" spans="1:14" x14ac:dyDescent="0.2">
      <c r="A669" s="47"/>
      <c r="B669" s="411"/>
      <c r="C669" s="411"/>
      <c r="D669" s="411"/>
      <c r="E669" s="411"/>
      <c r="H669" s="398"/>
      <c r="I669" s="412" t="s">
        <v>26</v>
      </c>
      <c r="J669" s="413">
        <v>1051460</v>
      </c>
    </row>
    <row r="670" spans="1:14" ht="12" thickBot="1" x14ac:dyDescent="0.25">
      <c r="A670" s="47"/>
      <c r="B670" s="411"/>
      <c r="C670" s="411"/>
      <c r="D670" s="411"/>
      <c r="E670" s="411"/>
      <c r="H670" s="398"/>
      <c r="I670" s="412" t="s">
        <v>323</v>
      </c>
      <c r="J670" s="414">
        <f>SUM(J668:J669)</f>
        <v>22889114</v>
      </c>
    </row>
    <row r="671" spans="1:14" ht="12" thickTop="1" x14ac:dyDescent="0.2">
      <c r="A671" s="47"/>
      <c r="B671" s="411"/>
      <c r="C671" s="411"/>
      <c r="D671" s="411"/>
      <c r="E671" s="411"/>
      <c r="H671" s="398"/>
    </row>
    <row r="672" spans="1:14" x14ac:dyDescent="0.2">
      <c r="A672" s="47"/>
      <c r="B672" s="411"/>
      <c r="C672" s="411"/>
      <c r="D672" s="411"/>
      <c r="H672" s="411"/>
      <c r="I672" s="412" t="s">
        <v>15</v>
      </c>
      <c r="J672" s="413">
        <f>SUM(N634,N639,N643,N646,N651,N654)</f>
        <v>19452724</v>
      </c>
    </row>
    <row r="673" spans="1:10" x14ac:dyDescent="0.2">
      <c r="A673" s="47"/>
      <c r="B673" s="411"/>
      <c r="C673" s="411"/>
      <c r="D673" s="411"/>
      <c r="H673" s="411"/>
      <c r="I673" s="412" t="s">
        <v>324</v>
      </c>
      <c r="J673" s="413">
        <f>SUM(N635,N640,N647)</f>
        <v>1046605</v>
      </c>
    </row>
    <row r="674" spans="1:10" x14ac:dyDescent="0.2">
      <c r="A674" s="47"/>
      <c r="B674" s="411"/>
      <c r="C674" s="411"/>
      <c r="D674" s="411"/>
      <c r="H674" s="411"/>
      <c r="I674" s="412" t="s">
        <v>325</v>
      </c>
      <c r="J674" s="413">
        <f>SUM(N659:N660)</f>
        <v>1903247</v>
      </c>
    </row>
    <row r="675" spans="1:10" ht="12" thickBot="1" x14ac:dyDescent="0.25">
      <c r="A675" s="47"/>
      <c r="B675" s="411"/>
      <c r="C675" s="411"/>
      <c r="D675" s="411"/>
      <c r="H675" s="411"/>
      <c r="I675" s="412" t="s">
        <v>320</v>
      </c>
      <c r="J675" s="415">
        <f>SUM(J672:J674)</f>
        <v>22402576</v>
      </c>
    </row>
    <row r="676" spans="1:10" ht="12" thickTop="1" x14ac:dyDescent="0.2">
      <c r="A676" s="47"/>
      <c r="B676" s="411"/>
      <c r="C676" s="411"/>
      <c r="D676" s="411"/>
      <c r="H676" s="411"/>
      <c r="I676" s="411"/>
      <c r="J676" s="411"/>
    </row>
    <row r="677" spans="1:10" x14ac:dyDescent="0.2">
      <c r="A677" s="47"/>
      <c r="B677" s="411"/>
      <c r="C677" s="411"/>
      <c r="D677" s="411"/>
      <c r="H677" s="411"/>
      <c r="I677" s="411"/>
      <c r="J677" s="411"/>
    </row>
    <row r="678" spans="1:10" x14ac:dyDescent="0.2">
      <c r="A678" s="47"/>
      <c r="B678" s="412" t="s">
        <v>326</v>
      </c>
      <c r="C678" s="416" t="e">
        <f>#REF!</f>
        <v>#REF!</v>
      </c>
      <c r="D678" s="411"/>
      <c r="H678" s="411"/>
      <c r="I678" s="412" t="s">
        <v>15</v>
      </c>
      <c r="J678" s="417">
        <f>J672</f>
        <v>19452724</v>
      </c>
    </row>
    <row r="679" spans="1:10" x14ac:dyDescent="0.2">
      <c r="A679" s="47"/>
      <c r="B679" s="412" t="s">
        <v>327</v>
      </c>
      <c r="C679" s="416" t="e">
        <f>#REF!</f>
        <v>#REF!</v>
      </c>
      <c r="D679" s="411"/>
      <c r="H679" s="412"/>
      <c r="I679" s="412" t="s">
        <v>312</v>
      </c>
      <c r="J679" s="413">
        <f>ROUND(SUM(J672-SUM(H404,E424:E428,H456:H457,H475:H479,H489,H513,))*0.1,0)</f>
        <v>1922721</v>
      </c>
    </row>
    <row r="680" spans="1:10" ht="12" thickBot="1" x14ac:dyDescent="0.25">
      <c r="A680" s="47"/>
      <c r="B680" s="412" t="s">
        <v>328</v>
      </c>
      <c r="C680" s="416" t="e">
        <f>#REF!</f>
        <v>#REF!</v>
      </c>
      <c r="D680" s="411"/>
      <c r="H680" s="412"/>
      <c r="I680" s="412" t="s">
        <v>329</v>
      </c>
      <c r="J680" s="415">
        <f>SUM(J678:J679)</f>
        <v>21375445</v>
      </c>
    </row>
    <row r="681" spans="1:10" ht="12" thickTop="1" x14ac:dyDescent="0.2">
      <c r="A681" s="47"/>
      <c r="B681" s="412" t="s">
        <v>330</v>
      </c>
      <c r="C681" s="416" t="e">
        <f>#REF!</f>
        <v>#REF!</v>
      </c>
      <c r="D681" s="411"/>
      <c r="H681" s="418"/>
      <c r="I681" s="417"/>
      <c r="J681" s="411"/>
    </row>
    <row r="682" spans="1:10" x14ac:dyDescent="0.2">
      <c r="A682" s="47"/>
      <c r="B682" s="412" t="s">
        <v>149</v>
      </c>
      <c r="C682" s="416" t="e">
        <f>#REF!</f>
        <v>#REF!</v>
      </c>
      <c r="D682" s="411"/>
      <c r="H682" s="413"/>
      <c r="I682" s="412" t="s">
        <v>324</v>
      </c>
      <c r="J682" s="417">
        <f>SUM(N635,N640,N647)</f>
        <v>1046605</v>
      </c>
    </row>
    <row r="683" spans="1:10" x14ac:dyDescent="0.2">
      <c r="A683" s="47"/>
      <c r="B683" s="412" t="s">
        <v>116</v>
      </c>
      <c r="C683" s="416" t="e">
        <f>#REF!</f>
        <v>#REF!</v>
      </c>
      <c r="D683" s="411"/>
      <c r="H683" s="411"/>
      <c r="I683" s="412" t="s">
        <v>331</v>
      </c>
      <c r="J683" s="417">
        <f>N660</f>
        <v>4855</v>
      </c>
    </row>
    <row r="684" spans="1:10" ht="12" thickBot="1" x14ac:dyDescent="0.25">
      <c r="A684" s="47"/>
      <c r="B684" s="412" t="s">
        <v>332</v>
      </c>
      <c r="C684" s="416" t="e">
        <f>#REF!</f>
        <v>#REF!</v>
      </c>
      <c r="D684" s="411"/>
      <c r="H684" s="411"/>
      <c r="I684" s="411"/>
      <c r="J684" s="415">
        <f>SUM(J682:J683)</f>
        <v>1051460</v>
      </c>
    </row>
    <row r="685" spans="1:10" ht="12" thickTop="1" x14ac:dyDescent="0.2">
      <c r="A685" s="47"/>
      <c r="B685" s="412" t="s">
        <v>333</v>
      </c>
      <c r="C685" s="416" t="e">
        <f>#REF!</f>
        <v>#REF!</v>
      </c>
      <c r="D685" s="411"/>
      <c r="H685" s="411"/>
      <c r="I685" s="411"/>
      <c r="J685" s="411"/>
    </row>
    <row r="686" spans="1:10" x14ac:dyDescent="0.2">
      <c r="A686" s="47"/>
      <c r="B686" s="412" t="s">
        <v>134</v>
      </c>
      <c r="C686" s="416" t="e">
        <f>#REF!</f>
        <v>#REF!</v>
      </c>
      <c r="D686" s="411"/>
      <c r="H686" s="417"/>
      <c r="I686" s="411"/>
      <c r="J686" s="411"/>
    </row>
    <row r="687" spans="1:10" x14ac:dyDescent="0.2">
      <c r="A687" s="47"/>
      <c r="B687" s="412" t="s">
        <v>155</v>
      </c>
      <c r="C687" s="416" t="e">
        <f>#REF!</f>
        <v>#REF!</v>
      </c>
      <c r="D687" s="413"/>
      <c r="H687" s="417"/>
      <c r="I687" s="411"/>
      <c r="J687" s="411"/>
    </row>
    <row r="688" spans="1:10" x14ac:dyDescent="0.2">
      <c r="A688" s="47"/>
      <c r="B688" s="412"/>
      <c r="C688" s="416" t="e">
        <f>SUM(C678:C687)</f>
        <v>#REF!</v>
      </c>
      <c r="D688" s="413"/>
      <c r="H688" s="411"/>
      <c r="I688" s="412" t="s">
        <v>334</v>
      </c>
      <c r="J688" s="413">
        <f>ROUND(SUMIFS($H$7:$H$397,$A$7:$A$397,"&lt;&gt;YEAR 1", $I$7:$I$397, "A2"),0)</f>
        <v>2625570</v>
      </c>
    </row>
    <row r="689" spans="1:12" x14ac:dyDescent="0.2">
      <c r="A689" s="47"/>
      <c r="B689" s="412"/>
      <c r="C689" s="411">
        <v>-26581913</v>
      </c>
      <c r="D689" s="413"/>
      <c r="H689" s="411"/>
      <c r="I689" s="412" t="s">
        <v>335</v>
      </c>
      <c r="J689" s="417">
        <f>N648</f>
        <v>2001002</v>
      </c>
      <c r="L689" s="111"/>
    </row>
    <row r="690" spans="1:12" x14ac:dyDescent="0.2">
      <c r="A690" s="47"/>
      <c r="B690" s="411"/>
      <c r="C690" s="416" t="e">
        <f>C688+C689</f>
        <v>#REF!</v>
      </c>
      <c r="D690" s="413"/>
      <c r="H690" s="411"/>
      <c r="I690" s="412" t="s">
        <v>315</v>
      </c>
      <c r="J690" s="413">
        <f>J688*0.1</f>
        <v>262557</v>
      </c>
    </row>
    <row r="691" spans="1:12" ht="12" thickBot="1" x14ac:dyDescent="0.25">
      <c r="A691" s="47"/>
      <c r="B691" s="411"/>
      <c r="C691" s="411"/>
      <c r="D691" s="413"/>
      <c r="H691" s="411"/>
      <c r="I691" s="412" t="s">
        <v>336</v>
      </c>
      <c r="J691" s="415">
        <f>SUM(J688:J690)</f>
        <v>4889129</v>
      </c>
    </row>
    <row r="692" spans="1:12" ht="12" thickTop="1" x14ac:dyDescent="0.2">
      <c r="A692" s="47"/>
      <c r="B692" s="411"/>
      <c r="C692" s="411"/>
      <c r="D692" s="413"/>
      <c r="H692" s="411"/>
      <c r="J692" s="411"/>
    </row>
    <row r="693" spans="1:12" x14ac:dyDescent="0.2">
      <c r="A693" s="47"/>
      <c r="B693" s="411"/>
      <c r="C693" s="411"/>
      <c r="D693" s="411"/>
      <c r="H693" s="411"/>
      <c r="I693" s="107" t="s">
        <v>337</v>
      </c>
      <c r="J693" s="417">
        <f>J668</f>
        <v>21837654</v>
      </c>
    </row>
    <row r="694" spans="1:12" x14ac:dyDescent="0.2">
      <c r="A694" s="47"/>
      <c r="B694" s="411"/>
      <c r="C694" s="411"/>
      <c r="D694" s="411"/>
      <c r="H694" s="411"/>
      <c r="I694" s="107" t="s">
        <v>338</v>
      </c>
      <c r="J694" s="417">
        <f>J680</f>
        <v>21375445</v>
      </c>
    </row>
    <row r="695" spans="1:12" ht="12" thickBot="1" x14ac:dyDescent="0.25">
      <c r="A695" s="47"/>
      <c r="B695" s="411"/>
      <c r="C695" s="411"/>
      <c r="D695" s="411"/>
      <c r="H695" s="411"/>
      <c r="I695" s="107" t="s">
        <v>322</v>
      </c>
      <c r="J695" s="415">
        <f>J693-J694</f>
        <v>462209</v>
      </c>
      <c r="K695" s="75" t="s">
        <v>339</v>
      </c>
    </row>
    <row r="696" spans="1:12" ht="12" thickTop="1" x14ac:dyDescent="0.2">
      <c r="A696" s="47"/>
      <c r="B696" s="411"/>
      <c r="C696" s="411"/>
      <c r="D696" s="411"/>
      <c r="H696" s="411"/>
      <c r="I696" s="412"/>
      <c r="J696" s="417"/>
    </row>
    <row r="697" spans="1:12" x14ac:dyDescent="0.2">
      <c r="A697" s="47"/>
      <c r="B697" s="411"/>
      <c r="C697" s="411"/>
      <c r="D697" s="411"/>
      <c r="H697" s="411"/>
      <c r="I697" s="412" t="s">
        <v>340</v>
      </c>
      <c r="J697" s="417">
        <f>J669</f>
        <v>1051460</v>
      </c>
    </row>
    <row r="698" spans="1:12" x14ac:dyDescent="0.2">
      <c r="A698" s="47"/>
      <c r="B698" s="411"/>
      <c r="C698" s="411"/>
      <c r="D698" s="411"/>
      <c r="H698" s="411"/>
      <c r="I698" s="412" t="s">
        <v>341</v>
      </c>
      <c r="J698" s="417">
        <f>J684</f>
        <v>1051460</v>
      </c>
    </row>
    <row r="699" spans="1:12" x14ac:dyDescent="0.2">
      <c r="A699" s="47"/>
      <c r="B699" s="411"/>
      <c r="C699" s="411"/>
      <c r="D699" s="411"/>
      <c r="H699" s="411"/>
      <c r="I699" s="412" t="s">
        <v>342</v>
      </c>
      <c r="J699" s="413">
        <f>J697-J698</f>
        <v>0</v>
      </c>
    </row>
    <row r="700" spans="1:12" x14ac:dyDescent="0.2">
      <c r="A700" s="47"/>
      <c r="B700" s="411"/>
      <c r="C700" s="411"/>
      <c r="D700" s="411"/>
      <c r="H700" s="411"/>
      <c r="I700" s="412"/>
      <c r="J700" s="417"/>
    </row>
    <row r="701" spans="1:12" x14ac:dyDescent="0.2">
      <c r="A701" s="47"/>
      <c r="B701" s="411"/>
      <c r="C701" s="411"/>
      <c r="D701" s="411"/>
      <c r="H701" s="411"/>
      <c r="I701" s="412" t="s">
        <v>343</v>
      </c>
      <c r="J701" s="413">
        <v>22889114</v>
      </c>
    </row>
    <row r="702" spans="1:12" x14ac:dyDescent="0.2">
      <c r="A702" s="47"/>
      <c r="B702" s="411"/>
      <c r="C702" s="411"/>
      <c r="D702" s="411"/>
      <c r="H702" s="411"/>
      <c r="I702" s="412" t="s">
        <v>344</v>
      </c>
      <c r="J702" s="413">
        <f>J675*-1</f>
        <v>-22402576</v>
      </c>
    </row>
    <row r="703" spans="1:12" ht="12" thickBot="1" x14ac:dyDescent="0.25">
      <c r="A703" s="47"/>
      <c r="B703" s="411"/>
      <c r="C703" s="411"/>
      <c r="D703" s="411"/>
      <c r="H703" s="411"/>
      <c r="I703" s="412" t="s">
        <v>342</v>
      </c>
      <c r="J703" s="414">
        <f>SUM(J701:J702)</f>
        <v>486538</v>
      </c>
    </row>
    <row r="704" spans="1:12" ht="12" thickTop="1" x14ac:dyDescent="0.2">
      <c r="A704" s="47"/>
      <c r="B704" s="411"/>
      <c r="C704" s="411"/>
      <c r="D704" s="411"/>
      <c r="H704" s="411"/>
      <c r="I704" s="412"/>
      <c r="J704" s="404"/>
    </row>
    <row r="705" spans="1:10" x14ac:dyDescent="0.2">
      <c r="A705" s="47"/>
      <c r="B705" s="411"/>
      <c r="C705" s="411"/>
      <c r="D705" s="411"/>
      <c r="H705" s="411"/>
      <c r="I705" s="412"/>
      <c r="J705" s="410"/>
    </row>
    <row r="706" spans="1:10" x14ac:dyDescent="0.2">
      <c r="A706" s="47"/>
      <c r="B706" s="411"/>
      <c r="C706" s="411"/>
      <c r="D706" s="411"/>
      <c r="H706" s="411"/>
      <c r="I706" s="411"/>
      <c r="J706" s="410"/>
    </row>
    <row r="707" spans="1:10" x14ac:dyDescent="0.2">
      <c r="A707" s="47"/>
      <c r="B707" s="411"/>
      <c r="C707" s="411"/>
      <c r="D707" s="411"/>
      <c r="H707" s="411"/>
      <c r="I707" s="411"/>
      <c r="J707" s="410"/>
    </row>
    <row r="708" spans="1:10" x14ac:dyDescent="0.2">
      <c r="A708" s="47"/>
      <c r="B708" s="411"/>
      <c r="C708" s="411"/>
      <c r="D708" s="411"/>
      <c r="H708" s="398"/>
      <c r="I708" s="399"/>
      <c r="J708" s="410"/>
    </row>
    <row r="709" spans="1:10" x14ac:dyDescent="0.2">
      <c r="B709" s="419"/>
      <c r="C709" s="419"/>
      <c r="D709" s="419"/>
      <c r="E709" s="419"/>
      <c r="F709" s="419"/>
      <c r="G709" s="419"/>
      <c r="H709" s="408"/>
      <c r="I709" s="409"/>
      <c r="J709" s="410"/>
    </row>
    <row r="710" spans="1:10" x14ac:dyDescent="0.2">
      <c r="B710" s="419"/>
      <c r="C710" s="419"/>
      <c r="D710" s="419"/>
      <c r="E710" s="419"/>
      <c r="F710" s="419"/>
      <c r="G710" s="419"/>
      <c r="H710" s="408"/>
      <c r="I710" s="409"/>
      <c r="J710" s="410"/>
    </row>
    <row r="711" spans="1:10" x14ac:dyDescent="0.2">
      <c r="B711" s="419"/>
      <c r="C711" s="419"/>
      <c r="D711" s="419"/>
      <c r="E711" s="419"/>
      <c r="F711" s="419"/>
      <c r="G711" s="419"/>
      <c r="H711" s="408"/>
      <c r="I711" s="409"/>
      <c r="J711" s="410"/>
    </row>
    <row r="712" spans="1:10" x14ac:dyDescent="0.2">
      <c r="B712" s="419"/>
      <c r="C712" s="419"/>
      <c r="D712" s="419"/>
      <c r="E712" s="419"/>
      <c r="F712" s="419"/>
      <c r="G712" s="419"/>
      <c r="H712" s="408"/>
      <c r="I712" s="409"/>
      <c r="J712" s="410"/>
    </row>
    <row r="713" spans="1:10" x14ac:dyDescent="0.2">
      <c r="B713" s="419"/>
      <c r="C713" s="419"/>
      <c r="D713" s="419"/>
      <c r="E713" s="419"/>
      <c r="F713" s="419"/>
      <c r="G713" s="419"/>
      <c r="H713" s="408"/>
      <c r="I713" s="409"/>
    </row>
    <row r="714" spans="1:10" x14ac:dyDescent="0.2">
      <c r="B714" s="419"/>
      <c r="C714" s="419"/>
      <c r="D714" s="419"/>
      <c r="E714" s="419"/>
      <c r="F714" s="419"/>
      <c r="G714" s="419"/>
      <c r="H714" s="408"/>
      <c r="I714" s="409"/>
    </row>
    <row r="715" spans="1:10" x14ac:dyDescent="0.2">
      <c r="B715" s="419"/>
      <c r="C715" s="419"/>
      <c r="D715" s="419"/>
      <c r="E715" s="419"/>
      <c r="F715" s="419"/>
      <c r="G715" s="419"/>
      <c r="H715" s="408"/>
      <c r="I715" s="409"/>
    </row>
    <row r="716" spans="1:10" x14ac:dyDescent="0.2">
      <c r="B716" s="419"/>
      <c r="C716" s="419"/>
      <c r="D716" s="419"/>
      <c r="E716" s="419"/>
      <c r="F716" s="419"/>
      <c r="G716" s="419"/>
      <c r="H716" s="408"/>
      <c r="I716" s="409"/>
    </row>
    <row r="717" spans="1:10" x14ac:dyDescent="0.2">
      <c r="B717" s="78"/>
      <c r="C717" s="78"/>
      <c r="D717" s="78"/>
      <c r="E717" s="78"/>
      <c r="F717" s="78"/>
      <c r="G717" s="78"/>
    </row>
  </sheetData>
  <sheetProtection formatCells="0" formatColumns="0" formatRows="0" insertColumns="0" insertRows="0" insertHyperlinks="0" deleteColumns="0" deleteRows="0" selectLockedCells="1" sort="0" autoFilter="0" pivotTables="0"/>
  <dataConsolidate/>
  <mergeCells count="247">
    <mergeCell ref="M632:N632"/>
    <mergeCell ref="B443:C443"/>
    <mergeCell ref="C545:D545"/>
    <mergeCell ref="B663:I663"/>
    <mergeCell ref="B661:I661"/>
    <mergeCell ref="B665:I665"/>
    <mergeCell ref="B662:F662"/>
    <mergeCell ref="B657:H657"/>
    <mergeCell ref="B618:D618"/>
    <mergeCell ref="B597:D597"/>
    <mergeCell ref="B598:D598"/>
    <mergeCell ref="B599:D599"/>
    <mergeCell ref="B600:D600"/>
    <mergeCell ref="B608:D608"/>
    <mergeCell ref="B609:D609"/>
    <mergeCell ref="B610:D610"/>
    <mergeCell ref="B611:D611"/>
    <mergeCell ref="B651:G651"/>
    <mergeCell ref="B659:H659"/>
    <mergeCell ref="G662:H662"/>
    <mergeCell ref="B615:D615"/>
    <mergeCell ref="B616:D616"/>
    <mergeCell ref="B588:J588"/>
    <mergeCell ref="B589:J589"/>
    <mergeCell ref="B621:D621"/>
    <mergeCell ref="B622:J622"/>
    <mergeCell ref="B575:D575"/>
    <mergeCell ref="B576:D576"/>
    <mergeCell ref="B577:D577"/>
    <mergeCell ref="B578:D578"/>
    <mergeCell ref="B606:D606"/>
    <mergeCell ref="B582:H582"/>
    <mergeCell ref="B585:C585"/>
    <mergeCell ref="B586:E586"/>
    <mergeCell ref="B587:D587"/>
    <mergeCell ref="B591:D591"/>
    <mergeCell ref="B592:D592"/>
    <mergeCell ref="B593:D593"/>
    <mergeCell ref="B594:D594"/>
    <mergeCell ref="B590:D590"/>
    <mergeCell ref="B602:D602"/>
    <mergeCell ref="B603:D603"/>
    <mergeCell ref="B604:D604"/>
    <mergeCell ref="B605:D605"/>
    <mergeCell ref="B617:D617"/>
    <mergeCell ref="B559:D559"/>
    <mergeCell ref="B655:J655"/>
    <mergeCell ref="B652:J652"/>
    <mergeCell ref="B450:E450"/>
    <mergeCell ref="B451:D451"/>
    <mergeCell ref="B495:D495"/>
    <mergeCell ref="B496:J496"/>
    <mergeCell ref="C497:J497"/>
    <mergeCell ref="B473:H473"/>
    <mergeCell ref="C485:J485"/>
    <mergeCell ref="C491:J491"/>
    <mergeCell ref="B493:C493"/>
    <mergeCell ref="B494:E494"/>
    <mergeCell ref="B467:J467"/>
    <mergeCell ref="B515:H515"/>
    <mergeCell ref="B543:H543"/>
    <mergeCell ref="B648:H648"/>
    <mergeCell ref="B546:E546"/>
    <mergeCell ref="B547:D547"/>
    <mergeCell ref="B551:D551"/>
    <mergeCell ref="B552:D552"/>
    <mergeCell ref="B553:D553"/>
    <mergeCell ref="B554:D554"/>
    <mergeCell ref="B641:H641"/>
    <mergeCell ref="B532:E532"/>
    <mergeCell ref="B533:D533"/>
    <mergeCell ref="B534:J534"/>
    <mergeCell ref="B535:H535"/>
    <mergeCell ref="B471:D471"/>
    <mergeCell ref="B472:H472"/>
    <mergeCell ref="B483:C483"/>
    <mergeCell ref="C484:J484"/>
    <mergeCell ref="B486:J486"/>
    <mergeCell ref="C487:J487"/>
    <mergeCell ref="B507:C507"/>
    <mergeCell ref="C531:D531"/>
    <mergeCell ref="B509:D509"/>
    <mergeCell ref="B510:J510"/>
    <mergeCell ref="C511:J511"/>
    <mergeCell ref="B548:I548"/>
    <mergeCell ref="B366:F366"/>
    <mergeCell ref="B367:G367"/>
    <mergeCell ref="B625:D625"/>
    <mergeCell ref="B632:J632"/>
    <mergeCell ref="B634:D634"/>
    <mergeCell ref="C369:G369"/>
    <mergeCell ref="B394:H394"/>
    <mergeCell ref="C381:G381"/>
    <mergeCell ref="B391:J391"/>
    <mergeCell ref="B399:H399"/>
    <mergeCell ref="B403:H403"/>
    <mergeCell ref="B549:I549"/>
    <mergeCell ref="B583:J583"/>
    <mergeCell ref="B525:D525"/>
    <mergeCell ref="B526:D526"/>
    <mergeCell ref="B527:D527"/>
    <mergeCell ref="B529:H529"/>
    <mergeCell ref="C517:D517"/>
    <mergeCell ref="E517:F517"/>
    <mergeCell ref="E531:F531"/>
    <mergeCell ref="B612:D612"/>
    <mergeCell ref="B614:D614"/>
    <mergeCell ref="B557:D557"/>
    <mergeCell ref="B558:D558"/>
    <mergeCell ref="B294:J294"/>
    <mergeCell ref="B300:J300"/>
    <mergeCell ref="B306:J306"/>
    <mergeCell ref="B312:J312"/>
    <mergeCell ref="B318:J318"/>
    <mergeCell ref="B258:J258"/>
    <mergeCell ref="B264:J264"/>
    <mergeCell ref="B270:J270"/>
    <mergeCell ref="B276:J276"/>
    <mergeCell ref="B282:J282"/>
    <mergeCell ref="B288:J288"/>
    <mergeCell ref="B320:C320"/>
    <mergeCell ref="F320:G320"/>
    <mergeCell ref="B321:C321"/>
    <mergeCell ref="B323:H323"/>
    <mergeCell ref="C324:G324"/>
    <mergeCell ref="B333:J333"/>
    <mergeCell ref="B397:J397"/>
    <mergeCell ref="B505:H505"/>
    <mergeCell ref="B508:E508"/>
    <mergeCell ref="F470:J470"/>
    <mergeCell ref="B430:J430"/>
    <mergeCell ref="B420:J420"/>
    <mergeCell ref="B246:J246"/>
    <mergeCell ref="B252:J252"/>
    <mergeCell ref="B1:J1"/>
    <mergeCell ref="B2:J2"/>
    <mergeCell ref="B3:J3"/>
    <mergeCell ref="B12:J12"/>
    <mergeCell ref="B84:J84"/>
    <mergeCell ref="B90:J90"/>
    <mergeCell ref="B96:J96"/>
    <mergeCell ref="B48:J48"/>
    <mergeCell ref="B54:J54"/>
    <mergeCell ref="B60:J60"/>
    <mergeCell ref="B66:J66"/>
    <mergeCell ref="B72:J72"/>
    <mergeCell ref="B78:J78"/>
    <mergeCell ref="B4:I4"/>
    <mergeCell ref="B192:J192"/>
    <mergeCell ref="B198:J198"/>
    <mergeCell ref="B204:J204"/>
    <mergeCell ref="B210:J210"/>
    <mergeCell ref="B216:J216"/>
    <mergeCell ref="B222:J222"/>
    <mergeCell ref="B156:J156"/>
    <mergeCell ref="B162:J162"/>
    <mergeCell ref="B144:J144"/>
    <mergeCell ref="B150:J150"/>
    <mergeCell ref="B228:J228"/>
    <mergeCell ref="B234:J234"/>
    <mergeCell ref="B240:J240"/>
    <mergeCell ref="B168:J168"/>
    <mergeCell ref="B174:J174"/>
    <mergeCell ref="B180:J180"/>
    <mergeCell ref="B186:J186"/>
    <mergeCell ref="B18:J18"/>
    <mergeCell ref="B24:J24"/>
    <mergeCell ref="B30:J30"/>
    <mergeCell ref="B36:J36"/>
    <mergeCell ref="B42:J42"/>
    <mergeCell ref="B120:J120"/>
    <mergeCell ref="B126:J126"/>
    <mergeCell ref="B132:J132"/>
    <mergeCell ref="B138:H138"/>
    <mergeCell ref="B102:J102"/>
    <mergeCell ref="B108:J108"/>
    <mergeCell ref="B114:J114"/>
    <mergeCell ref="C335:G335"/>
    <mergeCell ref="B322:I322"/>
    <mergeCell ref="B410:E410"/>
    <mergeCell ref="B379:J379"/>
    <mergeCell ref="B447:J447"/>
    <mergeCell ref="B402:I402"/>
    <mergeCell ref="B398:I398"/>
    <mergeCell ref="C418:J418"/>
    <mergeCell ref="B344:F344"/>
    <mergeCell ref="C346:G346"/>
    <mergeCell ref="B355:F355"/>
    <mergeCell ref="C357:G357"/>
    <mergeCell ref="B395:G395"/>
    <mergeCell ref="B396:G396"/>
    <mergeCell ref="B400:G400"/>
    <mergeCell ref="B393:I393"/>
    <mergeCell ref="B415:J415"/>
    <mergeCell ref="B407:J407"/>
    <mergeCell ref="B408:J408"/>
    <mergeCell ref="B423:E423"/>
    <mergeCell ref="B425:C425"/>
    <mergeCell ref="B426:C426"/>
    <mergeCell ref="B427:C427"/>
    <mergeCell ref="B428:C428"/>
    <mergeCell ref="C469:D469"/>
    <mergeCell ref="E469:F469"/>
    <mergeCell ref="B519:D519"/>
    <mergeCell ref="B520:H520"/>
    <mergeCell ref="B521:H521"/>
    <mergeCell ref="B523:D523"/>
    <mergeCell ref="B524:D524"/>
    <mergeCell ref="E404:F404"/>
    <mergeCell ref="C409:J409"/>
    <mergeCell ref="C406:J406"/>
    <mergeCell ref="C405:J405"/>
    <mergeCell ref="C419:J419"/>
    <mergeCell ref="B421:J421"/>
    <mergeCell ref="C422:J422"/>
    <mergeCell ref="C432:D432"/>
    <mergeCell ref="C404:D404"/>
    <mergeCell ref="C417:D417"/>
    <mergeCell ref="B411:C411"/>
    <mergeCell ref="B414:D414"/>
    <mergeCell ref="B424:C424"/>
    <mergeCell ref="B435:J436"/>
    <mergeCell ref="B439:J439"/>
    <mergeCell ref="B647:I647"/>
    <mergeCell ref="B623:I623"/>
    <mergeCell ref="B624:J624"/>
    <mergeCell ref="B646:J646"/>
    <mergeCell ref="B429:D429"/>
    <mergeCell ref="E417:F417"/>
    <mergeCell ref="B453:J453"/>
    <mergeCell ref="C452:J452"/>
    <mergeCell ref="C454:J454"/>
    <mergeCell ref="B442:E442"/>
    <mergeCell ref="B455:E455"/>
    <mergeCell ref="C449:D449"/>
    <mergeCell ref="E432:F432"/>
    <mergeCell ref="E449:F449"/>
    <mergeCell ref="B444:C444"/>
    <mergeCell ref="B445:C445"/>
    <mergeCell ref="B446:D446"/>
    <mergeCell ref="C437:J437"/>
    <mergeCell ref="C438:J438"/>
    <mergeCell ref="B440:J440"/>
    <mergeCell ref="C441:J441"/>
    <mergeCell ref="C433:J434"/>
    <mergeCell ref="B544:J544"/>
    <mergeCell ref="B518:E518"/>
  </mergeCells>
  <phoneticPr fontId="25" type="noConversion"/>
  <conditionalFormatting sqref="I1:I3 I323:I378 I381:I392 I394:I397 I399:I401 I403:I404 I411:I417 I424:I432 I435:I436 I442:I446 I448:I451 I625:I646 M633:M665 I648:I660 I662 I664 I666 I708:I1048576">
    <cfRule type="containsText" dxfId="44" priority="9" operator="containsText" text="A2">
      <formula>NOT(ISERROR(SEARCH("A2",I1)))</formula>
    </cfRule>
  </conditionalFormatting>
  <conditionalFormatting sqref="I5:I321">
    <cfRule type="containsText" dxfId="43" priority="1" operator="containsText" text="A2">
      <formula>NOT(ISERROR(SEARCH("A2",I5)))</formula>
    </cfRule>
  </conditionalFormatting>
  <conditionalFormatting sqref="I455:I622">
    <cfRule type="containsText" dxfId="42" priority="3" operator="containsText" text="A2">
      <formula>NOT(ISERROR(SEARCH("A2",I455)))</formula>
    </cfRule>
  </conditionalFormatting>
  <conditionalFormatting sqref="J675">
    <cfRule type="cellIs" dxfId="41" priority="24" operator="greaterThan">
      <formula>$J$670</formula>
    </cfRule>
    <cfRule type="cellIs" dxfId="40" priority="25" operator="lessThanOrEqual">
      <formula>$J$670</formula>
    </cfRule>
  </conditionalFormatting>
  <conditionalFormatting sqref="J680">
    <cfRule type="cellIs" dxfId="39" priority="22" operator="greaterThan">
      <formula>$J$668</formula>
    </cfRule>
    <cfRule type="cellIs" dxfId="38" priority="23" operator="lessThanOrEqual">
      <formula>$J$668</formula>
    </cfRule>
  </conditionalFormatting>
  <conditionalFormatting sqref="J684">
    <cfRule type="cellIs" dxfId="37" priority="26" operator="greaterThan">
      <formula>$J$669</formula>
    </cfRule>
    <cfRule type="cellIs" dxfId="36" priority="27" operator="lessThanOrEqual">
      <formula>$J$669</formula>
    </cfRule>
  </conditionalFormatting>
  <conditionalFormatting sqref="J695">
    <cfRule type="cellIs" dxfId="35" priority="12" operator="greaterThanOrEqual">
      <formula>0</formula>
    </cfRule>
    <cfRule type="cellIs" dxfId="34" priority="13" operator="lessThan">
      <formula>0</formula>
    </cfRule>
  </conditionalFormatting>
  <conditionalFormatting sqref="J699">
    <cfRule type="cellIs" dxfId="33" priority="10" operator="lessThan">
      <formula>0</formula>
    </cfRule>
    <cfRule type="cellIs" dxfId="32" priority="11" operator="greaterThanOrEqual">
      <formula>0</formula>
    </cfRule>
  </conditionalFormatting>
  <conditionalFormatting sqref="J703">
    <cfRule type="cellIs" dxfId="31" priority="20" operator="lessThan">
      <formula>0</formula>
    </cfRule>
    <cfRule type="cellIs" dxfId="30" priority="21" operator="greaterThan">
      <formula>0</formula>
    </cfRule>
  </conditionalFormatting>
  <pageMargins left="0.2" right="0.2" top="0.25" bottom="0.25" header="0.3" footer="0.3"/>
  <pageSetup fitToHeight="0" orientation="portrait" r:id="rId1"/>
  <colBreaks count="1" manualBreakCount="1">
    <brk id="10" max="104" man="1"/>
  </colBreak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EED727EA-2F64-4370-9A76-B660ACEA2830}">
          <x14:formula1>
            <xm:f>'DATA LIST'!$A$3:$A$6</xm:f>
          </x14:formula1>
          <xm:sqref>J7:J11 J13:J17 J19:J23 J25:J29 J31:J35 J37:J41 J43:J47 J49:J53 J55:J59 J61:J65 J67:J71 J73:J77 J79:J83 J85:J89 J91:J95 J97:J101 J139 J145 J151 J157 J163 J169 J175 J181 J187 J193 J199 J205 J211 J223 J217 J229 J241 J235 J247 J253:J257 J259:J263 J265:J269 J271:J275 J277:J281 J283:J287 J289:J293 J295:J299 J301:J305 J307:J311 J313:J317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45B68-C055-4723-B580-893E71AB02BA}">
  <sheetPr>
    <pageSetUpPr fitToPage="1"/>
  </sheetPr>
  <dimension ref="A1:P815"/>
  <sheetViews>
    <sheetView topLeftCell="A702" zoomScale="115" zoomScaleNormal="115" workbookViewId="0">
      <selection activeCell="H706" sqref="H706"/>
    </sheetView>
  </sheetViews>
  <sheetFormatPr defaultColWidth="5.5703125" defaultRowHeight="12" x14ac:dyDescent="0.2"/>
  <cols>
    <col min="1" max="1" width="7" style="531" customWidth="1"/>
    <col min="2" max="2" width="30.28515625" style="531" customWidth="1"/>
    <col min="3" max="3" width="12.42578125" style="531" bestFit="1" customWidth="1"/>
    <col min="4" max="4" width="11.7109375" style="531" bestFit="1" customWidth="1"/>
    <col min="5" max="5" width="12" style="531" bestFit="1" customWidth="1"/>
    <col min="6" max="6" width="12.42578125" style="531" bestFit="1" customWidth="1"/>
    <col min="7" max="7" width="19" style="531" customWidth="1"/>
    <col min="8" max="8" width="12" style="531" customWidth="1"/>
    <col min="9" max="9" width="12.5703125" style="536" customWidth="1"/>
    <col min="10" max="10" width="23.42578125" style="539" customWidth="1"/>
    <col min="11" max="11" width="16.140625" style="531" customWidth="1"/>
    <col min="12" max="12" width="13.28515625" style="531" bestFit="1" customWidth="1"/>
    <col min="13" max="13" width="21.7109375" style="531" bestFit="1" customWidth="1"/>
    <col min="14" max="15" width="12" style="531" bestFit="1" customWidth="1"/>
    <col min="16" max="16384" width="5.5703125" style="531"/>
  </cols>
  <sheetData>
    <row r="1" spans="1:11" x14ac:dyDescent="0.2">
      <c r="B1" s="1104" t="s">
        <v>0</v>
      </c>
      <c r="C1" s="1105"/>
      <c r="D1" s="1105"/>
      <c r="E1" s="1105"/>
      <c r="F1" s="1105"/>
      <c r="G1" s="1105"/>
      <c r="H1" s="1105"/>
      <c r="I1" s="1105"/>
      <c r="J1" s="1106"/>
      <c r="K1" s="534"/>
    </row>
    <row r="2" spans="1:11" ht="24.4" customHeight="1" x14ac:dyDescent="0.2">
      <c r="B2" s="1107" t="s">
        <v>345</v>
      </c>
      <c r="C2" s="1108"/>
      <c r="D2" s="1108"/>
      <c r="E2" s="1108"/>
      <c r="F2" s="1108"/>
      <c r="G2" s="1108"/>
      <c r="H2" s="1108"/>
      <c r="I2" s="1108"/>
      <c r="J2" s="1109"/>
      <c r="K2" s="534"/>
    </row>
    <row r="3" spans="1:11" x14ac:dyDescent="0.2">
      <c r="B3" s="1110" t="s">
        <v>3</v>
      </c>
      <c r="C3" s="1111"/>
      <c r="D3" s="1111"/>
      <c r="E3" s="1111"/>
      <c r="F3" s="1111"/>
      <c r="G3" s="1111"/>
      <c r="H3" s="1111"/>
      <c r="I3" s="1111"/>
      <c r="J3" s="527">
        <f>ROUND(SUM(H4:H318),0)</f>
        <v>21383591</v>
      </c>
      <c r="K3" s="550"/>
    </row>
    <row r="4" spans="1:11" x14ac:dyDescent="0.2">
      <c r="B4" s="551"/>
      <c r="C4" s="552"/>
      <c r="D4" s="552"/>
      <c r="E4" s="526"/>
      <c r="F4" s="552"/>
      <c r="G4" s="552"/>
      <c r="H4" s="553"/>
      <c r="I4" s="554"/>
      <c r="J4" s="555"/>
      <c r="K4" s="550"/>
    </row>
    <row r="5" spans="1:11" ht="24" x14ac:dyDescent="0.2">
      <c r="B5" s="556" t="s">
        <v>4</v>
      </c>
      <c r="C5" s="525" t="s">
        <v>5</v>
      </c>
      <c r="D5" s="525" t="s">
        <v>6</v>
      </c>
      <c r="E5" s="524" t="s">
        <v>7</v>
      </c>
      <c r="F5" s="557" t="s">
        <v>8</v>
      </c>
      <c r="G5" s="558" t="s">
        <v>9</v>
      </c>
      <c r="H5" s="558" t="s">
        <v>10</v>
      </c>
      <c r="I5" s="558" t="s">
        <v>11</v>
      </c>
      <c r="J5" s="559" t="s">
        <v>12</v>
      </c>
    </row>
    <row r="6" spans="1:11" ht="36" x14ac:dyDescent="0.2">
      <c r="A6" s="531" t="s">
        <v>13</v>
      </c>
      <c r="B6" s="560" t="s">
        <v>14</v>
      </c>
      <c r="C6" s="512">
        <v>60777.599999999999</v>
      </c>
      <c r="D6" s="505">
        <v>0.42499999999999999</v>
      </c>
      <c r="E6" s="504">
        <v>1</v>
      </c>
      <c r="F6" s="561">
        <v>1</v>
      </c>
      <c r="G6" s="503">
        <f>F6/12</f>
        <v>8.3333333333333329E-2</v>
      </c>
      <c r="H6" s="562">
        <f>ROUND(C6*(1+D6)*E6*G6,0)</f>
        <v>7217</v>
      </c>
      <c r="I6" s="563" t="s">
        <v>15</v>
      </c>
      <c r="J6" s="559" t="s">
        <v>16</v>
      </c>
    </row>
    <row r="7" spans="1:11" x14ac:dyDescent="0.2">
      <c r="A7" s="531" t="s">
        <v>17</v>
      </c>
      <c r="B7" s="564" t="s">
        <v>17</v>
      </c>
      <c r="C7" s="512">
        <v>64424</v>
      </c>
      <c r="D7" s="505">
        <v>0.42499999999999999</v>
      </c>
      <c r="E7" s="504">
        <v>1</v>
      </c>
      <c r="F7" s="561">
        <v>12</v>
      </c>
      <c r="G7" s="503">
        <f>F7/12</f>
        <v>1</v>
      </c>
      <c r="H7" s="562">
        <f>ROUND(C7*(1+D7)*E7*G7,0)</f>
        <v>91804</v>
      </c>
      <c r="I7" s="563" t="s">
        <v>15</v>
      </c>
      <c r="J7" s="559"/>
      <c r="K7" s="547"/>
    </row>
    <row r="8" spans="1:11" x14ac:dyDescent="0.2">
      <c r="A8" s="531" t="s">
        <v>18</v>
      </c>
      <c r="B8" s="565" t="s">
        <v>18</v>
      </c>
      <c r="C8" s="512">
        <v>68290</v>
      </c>
      <c r="D8" s="505">
        <v>0.42499999999999999</v>
      </c>
      <c r="E8" s="504">
        <v>1</v>
      </c>
      <c r="F8" s="561">
        <v>12</v>
      </c>
      <c r="G8" s="503">
        <f>F8/12</f>
        <v>1</v>
      </c>
      <c r="H8" s="562">
        <f>ROUND(C8*(1+D8)*E8*G8,0)</f>
        <v>97313</v>
      </c>
      <c r="I8" s="563" t="s">
        <v>15</v>
      </c>
      <c r="J8" s="559"/>
      <c r="K8" s="547"/>
    </row>
    <row r="9" spans="1:11" x14ac:dyDescent="0.2">
      <c r="A9" s="531" t="s">
        <v>19</v>
      </c>
      <c r="B9" s="565" t="s">
        <v>19</v>
      </c>
      <c r="C9" s="512">
        <v>72387</v>
      </c>
      <c r="D9" s="505">
        <v>0.42499999999999999</v>
      </c>
      <c r="E9" s="504">
        <v>1</v>
      </c>
      <c r="F9" s="561">
        <v>12</v>
      </c>
      <c r="G9" s="503">
        <f>F9/12</f>
        <v>1</v>
      </c>
      <c r="H9" s="562">
        <f>ROUND(C9*(1+D9)*E9*G9,0)</f>
        <v>103151</v>
      </c>
      <c r="I9" s="563" t="s">
        <v>15</v>
      </c>
      <c r="J9" s="559"/>
    </row>
    <row r="10" spans="1:11" x14ac:dyDescent="0.2">
      <c r="A10" s="531" t="s">
        <v>20</v>
      </c>
      <c r="B10" s="566" t="s">
        <v>20</v>
      </c>
      <c r="C10" s="511">
        <v>76730</v>
      </c>
      <c r="D10" s="501">
        <v>0.42499999999999999</v>
      </c>
      <c r="E10" s="500">
        <v>1</v>
      </c>
      <c r="F10" s="567">
        <v>12</v>
      </c>
      <c r="G10" s="499">
        <f>F10/12</f>
        <v>1</v>
      </c>
      <c r="H10" s="568">
        <f>ROUND(C10*(1+D10)*E10*G10,0)</f>
        <v>109340</v>
      </c>
      <c r="I10" s="569" t="s">
        <v>15</v>
      </c>
      <c r="J10" s="570"/>
    </row>
    <row r="11" spans="1:11" ht="75.75" customHeight="1" x14ac:dyDescent="0.2">
      <c r="B11" s="1112" t="s">
        <v>21</v>
      </c>
      <c r="C11" s="1113"/>
      <c r="D11" s="1113"/>
      <c r="E11" s="1113"/>
      <c r="F11" s="1113"/>
      <c r="G11" s="1113"/>
      <c r="H11" s="1113"/>
      <c r="I11" s="1113"/>
      <c r="J11" s="1114"/>
    </row>
    <row r="12" spans="1:11" ht="12.75" customHeight="1" x14ac:dyDescent="0.2">
      <c r="A12" s="531" t="s">
        <v>13</v>
      </c>
      <c r="B12" s="571" t="s">
        <v>22</v>
      </c>
      <c r="C12" s="513">
        <v>48256</v>
      </c>
      <c r="D12" s="509">
        <v>0.42499999999999999</v>
      </c>
      <c r="E12" s="508">
        <v>1</v>
      </c>
      <c r="F12" s="572">
        <v>9</v>
      </c>
      <c r="G12" s="507">
        <f>F12/12</f>
        <v>0.75</v>
      </c>
      <c r="H12" s="573">
        <f>ROUND(C12*(1+D12)*E12*G12,0)</f>
        <v>51574</v>
      </c>
      <c r="I12" s="574" t="s">
        <v>15</v>
      </c>
      <c r="J12" s="575" t="s">
        <v>23</v>
      </c>
      <c r="K12" s="576"/>
    </row>
    <row r="13" spans="1:11" x14ac:dyDescent="0.2">
      <c r="A13" s="531" t="s">
        <v>17</v>
      </c>
      <c r="B13" s="564" t="s">
        <v>17</v>
      </c>
      <c r="C13" s="512">
        <v>52518</v>
      </c>
      <c r="D13" s="505">
        <v>0.42499999999999999</v>
      </c>
      <c r="E13" s="504">
        <v>1</v>
      </c>
      <c r="F13" s="561">
        <v>12</v>
      </c>
      <c r="G13" s="503">
        <f>F13/12</f>
        <v>1</v>
      </c>
      <c r="H13" s="562">
        <f>ROUND(C13*(1+D13)*E13*G13,0)</f>
        <v>74838</v>
      </c>
      <c r="I13" s="563" t="s">
        <v>15</v>
      </c>
      <c r="J13" s="559"/>
      <c r="K13" s="576"/>
    </row>
    <row r="14" spans="1:11" x14ac:dyDescent="0.2">
      <c r="A14" s="531" t="s">
        <v>18</v>
      </c>
      <c r="B14" s="565" t="s">
        <v>18</v>
      </c>
      <c r="C14" s="512">
        <v>55669</v>
      </c>
      <c r="D14" s="505">
        <v>0.42499999999999999</v>
      </c>
      <c r="E14" s="504">
        <v>1</v>
      </c>
      <c r="F14" s="561">
        <v>12</v>
      </c>
      <c r="G14" s="503">
        <f>F14/12</f>
        <v>1</v>
      </c>
      <c r="H14" s="562">
        <f>ROUND(C14*(1+D14)*E14*G14,0)</f>
        <v>79328</v>
      </c>
      <c r="I14" s="563" t="s">
        <v>15</v>
      </c>
      <c r="J14" s="559"/>
      <c r="K14" s="576"/>
    </row>
    <row r="15" spans="1:11" x14ac:dyDescent="0.2">
      <c r="A15" s="531" t="s">
        <v>19</v>
      </c>
      <c r="B15" s="565" t="s">
        <v>19</v>
      </c>
      <c r="C15" s="512">
        <v>59010</v>
      </c>
      <c r="D15" s="505">
        <v>0.42499999999999999</v>
      </c>
      <c r="E15" s="504">
        <v>1</v>
      </c>
      <c r="F15" s="561">
        <v>12</v>
      </c>
      <c r="G15" s="503">
        <f>F15/12</f>
        <v>1</v>
      </c>
      <c r="H15" s="562">
        <f>ROUND(C15*(1+D15)*E15*G15,0)</f>
        <v>84089</v>
      </c>
      <c r="I15" s="563" t="s">
        <v>15</v>
      </c>
      <c r="J15" s="559"/>
      <c r="K15" s="576"/>
    </row>
    <row r="16" spans="1:11" x14ac:dyDescent="0.2">
      <c r="A16" s="531" t="s">
        <v>20</v>
      </c>
      <c r="B16" s="566" t="s">
        <v>20</v>
      </c>
      <c r="C16" s="511">
        <v>62550</v>
      </c>
      <c r="D16" s="501">
        <v>0.42499999999999999</v>
      </c>
      <c r="E16" s="500">
        <v>1</v>
      </c>
      <c r="F16" s="567">
        <v>12</v>
      </c>
      <c r="G16" s="499">
        <f>F16/12</f>
        <v>1</v>
      </c>
      <c r="H16" s="568">
        <f>ROUND(C16*(1+D16)*E16*G16,0)</f>
        <v>89134</v>
      </c>
      <c r="I16" s="569" t="s">
        <v>15</v>
      </c>
      <c r="J16" s="570"/>
      <c r="K16" s="576"/>
    </row>
    <row r="17" spans="1:11" ht="74.25" customHeight="1" x14ac:dyDescent="0.2">
      <c r="B17" s="1112" t="s">
        <v>24</v>
      </c>
      <c r="C17" s="1113"/>
      <c r="D17" s="1113"/>
      <c r="E17" s="1113"/>
      <c r="F17" s="1113"/>
      <c r="G17" s="1113"/>
      <c r="H17" s="1113"/>
      <c r="I17" s="1113"/>
      <c r="J17" s="1114"/>
      <c r="K17" s="577"/>
    </row>
    <row r="18" spans="1:11" x14ac:dyDescent="0.2">
      <c r="A18" s="531" t="s">
        <v>13</v>
      </c>
      <c r="B18" s="571" t="s">
        <v>25</v>
      </c>
      <c r="C18" s="519">
        <v>77321</v>
      </c>
      <c r="D18" s="518">
        <v>0.42499999999999999</v>
      </c>
      <c r="E18" s="508">
        <v>1</v>
      </c>
      <c r="F18" s="578">
        <v>5</v>
      </c>
      <c r="G18" s="507">
        <f>F18/12</f>
        <v>0.41666666666666669</v>
      </c>
      <c r="H18" s="579">
        <f>ROUND(C18*(1+D18)*E18*G18,0)</f>
        <v>45909</v>
      </c>
      <c r="I18" s="580" t="s">
        <v>26</v>
      </c>
      <c r="J18" s="575" t="s">
        <v>23</v>
      </c>
      <c r="K18" s="581"/>
    </row>
    <row r="19" spans="1:11" x14ac:dyDescent="0.2">
      <c r="A19" s="531" t="s">
        <v>17</v>
      </c>
      <c r="B19" s="564" t="s">
        <v>17</v>
      </c>
      <c r="C19" s="517">
        <v>109821</v>
      </c>
      <c r="D19" s="516">
        <v>0.42499999999999999</v>
      </c>
      <c r="E19" s="504">
        <v>1</v>
      </c>
      <c r="F19" s="582">
        <v>12</v>
      </c>
      <c r="G19" s="503">
        <f>F19/12</f>
        <v>1</v>
      </c>
      <c r="H19" s="583">
        <f>ROUND(C19*(1+D19)*E19*G19,0)</f>
        <v>156495</v>
      </c>
      <c r="I19" s="584" t="s">
        <v>26</v>
      </c>
      <c r="J19" s="559"/>
      <c r="K19" s="581"/>
    </row>
    <row r="20" spans="1:11" x14ac:dyDescent="0.2">
      <c r="A20" s="531" t="s">
        <v>18</v>
      </c>
      <c r="B20" s="565" t="s">
        <v>18</v>
      </c>
      <c r="C20" s="517">
        <v>115838</v>
      </c>
      <c r="D20" s="516">
        <v>0.42499999999999999</v>
      </c>
      <c r="E20" s="504">
        <v>1</v>
      </c>
      <c r="F20" s="582">
        <v>12</v>
      </c>
      <c r="G20" s="503">
        <f>F20/12</f>
        <v>1</v>
      </c>
      <c r="H20" s="583">
        <f>ROUND(C20*(1+D20)*E20*G20,0)</f>
        <v>165069</v>
      </c>
      <c r="I20" s="584" t="s">
        <v>26</v>
      </c>
      <c r="J20" s="559"/>
      <c r="K20" s="581"/>
    </row>
    <row r="21" spans="1:11" x14ac:dyDescent="0.2">
      <c r="A21" s="531" t="s">
        <v>19</v>
      </c>
      <c r="B21" s="565" t="s">
        <v>19</v>
      </c>
      <c r="C21" s="517">
        <v>122788</v>
      </c>
      <c r="D21" s="516">
        <v>0.42499999999999999</v>
      </c>
      <c r="E21" s="504">
        <v>1</v>
      </c>
      <c r="F21" s="582">
        <v>12</v>
      </c>
      <c r="G21" s="503">
        <f>F21/12</f>
        <v>1</v>
      </c>
      <c r="H21" s="583">
        <f>ROUND(C21*(1+D21)*E21*G21,0)</f>
        <v>174973</v>
      </c>
      <c r="I21" s="584" t="s">
        <v>26</v>
      </c>
      <c r="J21" s="559"/>
      <c r="K21" s="581"/>
    </row>
    <row r="22" spans="1:11" x14ac:dyDescent="0.2">
      <c r="A22" s="531" t="s">
        <v>20</v>
      </c>
      <c r="B22" s="566" t="s">
        <v>20</v>
      </c>
      <c r="C22" s="515">
        <v>130155</v>
      </c>
      <c r="D22" s="514">
        <v>0.42499999999999999</v>
      </c>
      <c r="E22" s="500">
        <v>1</v>
      </c>
      <c r="F22" s="585">
        <v>12</v>
      </c>
      <c r="G22" s="499">
        <f>F22/12</f>
        <v>1</v>
      </c>
      <c r="H22" s="586">
        <f>ROUND(C22*(1+D22)*E22*G22,0)</f>
        <v>185471</v>
      </c>
      <c r="I22" s="587" t="s">
        <v>26</v>
      </c>
      <c r="J22" s="570"/>
      <c r="K22" s="581"/>
    </row>
    <row r="23" spans="1:11" ht="71.25" customHeight="1" x14ac:dyDescent="0.2">
      <c r="B23" s="1115" t="s">
        <v>27</v>
      </c>
      <c r="C23" s="1116"/>
      <c r="D23" s="1116"/>
      <c r="E23" s="1116"/>
      <c r="F23" s="1116"/>
      <c r="G23" s="1116"/>
      <c r="H23" s="1116"/>
      <c r="I23" s="1116"/>
      <c r="J23" s="1117"/>
      <c r="K23" s="588"/>
    </row>
    <row r="24" spans="1:11" ht="24" x14ac:dyDescent="0.2">
      <c r="A24" s="531" t="s">
        <v>13</v>
      </c>
      <c r="B24" s="566" t="s">
        <v>28</v>
      </c>
      <c r="C24" s="523">
        <v>79304</v>
      </c>
      <c r="D24" s="522">
        <v>0.42499999999999999</v>
      </c>
      <c r="E24" s="521">
        <v>1</v>
      </c>
      <c r="F24" s="589">
        <v>9</v>
      </c>
      <c r="G24" s="520">
        <f>F24/12</f>
        <v>0.75</v>
      </c>
      <c r="H24" s="590">
        <f>ROUND(C24*(1+D24)*E24*G24,0)</f>
        <v>84756</v>
      </c>
      <c r="I24" s="591" t="s">
        <v>15</v>
      </c>
      <c r="J24" s="592" t="s">
        <v>23</v>
      </c>
      <c r="K24" s="581"/>
    </row>
    <row r="25" spans="1:11" x14ac:dyDescent="0.2">
      <c r="A25" s="531" t="s">
        <v>17</v>
      </c>
      <c r="B25" s="564" t="s">
        <v>17</v>
      </c>
      <c r="C25" s="512">
        <v>84062</v>
      </c>
      <c r="D25" s="516">
        <v>0.42499999999999999</v>
      </c>
      <c r="E25" s="504">
        <v>1</v>
      </c>
      <c r="F25" s="582">
        <v>12</v>
      </c>
      <c r="G25" s="503">
        <f>F25/12</f>
        <v>1</v>
      </c>
      <c r="H25" s="583">
        <f>ROUND(C25*(1+D25)*E25*G25,0)</f>
        <v>119788</v>
      </c>
      <c r="I25" s="584" t="s">
        <v>15</v>
      </c>
      <c r="J25" s="559"/>
      <c r="K25" s="581"/>
    </row>
    <row r="26" spans="1:11" x14ac:dyDescent="0.2">
      <c r="A26" s="531" t="s">
        <v>18</v>
      </c>
      <c r="B26" s="565" t="s">
        <v>18</v>
      </c>
      <c r="C26" s="512">
        <v>89106</v>
      </c>
      <c r="D26" s="516">
        <v>0.42499999999999999</v>
      </c>
      <c r="E26" s="504">
        <v>1</v>
      </c>
      <c r="F26" s="582">
        <v>12</v>
      </c>
      <c r="G26" s="503">
        <f>F26/12</f>
        <v>1</v>
      </c>
      <c r="H26" s="583">
        <f>ROUND(C26*(1+D26)*E26*G26,0)</f>
        <v>126976</v>
      </c>
      <c r="I26" s="584" t="s">
        <v>15</v>
      </c>
      <c r="J26" s="559"/>
      <c r="K26" s="581"/>
    </row>
    <row r="27" spans="1:11" x14ac:dyDescent="0.2">
      <c r="A27" s="531" t="s">
        <v>19</v>
      </c>
      <c r="B27" s="565" t="s">
        <v>19</v>
      </c>
      <c r="C27" s="512">
        <v>94452</v>
      </c>
      <c r="D27" s="516">
        <v>0.42499999999999999</v>
      </c>
      <c r="E27" s="504">
        <v>1</v>
      </c>
      <c r="F27" s="582">
        <v>12</v>
      </c>
      <c r="G27" s="503">
        <f>F27/12</f>
        <v>1</v>
      </c>
      <c r="H27" s="583">
        <f>ROUND(C27*(1+D27)*E27*G27,0)</f>
        <v>134594</v>
      </c>
      <c r="I27" s="584" t="s">
        <v>15</v>
      </c>
      <c r="J27" s="559"/>
      <c r="K27" s="581"/>
    </row>
    <row r="28" spans="1:11" x14ac:dyDescent="0.2">
      <c r="A28" s="531" t="s">
        <v>20</v>
      </c>
      <c r="B28" s="566" t="s">
        <v>20</v>
      </c>
      <c r="C28" s="511">
        <v>100119</v>
      </c>
      <c r="D28" s="514">
        <v>0.42499999999999999</v>
      </c>
      <c r="E28" s="500">
        <v>1</v>
      </c>
      <c r="F28" s="593">
        <v>12</v>
      </c>
      <c r="G28" s="499">
        <f>F28/12</f>
        <v>1</v>
      </c>
      <c r="H28" s="586">
        <f>ROUND(C28*(1+D28)*E28*G28,0)</f>
        <v>142670</v>
      </c>
      <c r="I28" s="587" t="s">
        <v>15</v>
      </c>
      <c r="J28" s="570"/>
      <c r="K28" s="581"/>
    </row>
    <row r="29" spans="1:11" ht="75" customHeight="1" x14ac:dyDescent="0.2">
      <c r="B29" s="1118" t="s">
        <v>29</v>
      </c>
      <c r="C29" s="1119"/>
      <c r="D29" s="1119"/>
      <c r="E29" s="1119"/>
      <c r="F29" s="1119"/>
      <c r="G29" s="1119"/>
      <c r="H29" s="1119"/>
      <c r="I29" s="1119"/>
      <c r="J29" s="1120"/>
      <c r="K29" s="588"/>
    </row>
    <row r="30" spans="1:11" ht="24" x14ac:dyDescent="0.2">
      <c r="A30" s="531" t="s">
        <v>13</v>
      </c>
      <c r="B30" s="566" t="s">
        <v>30</v>
      </c>
      <c r="C30" s="513">
        <v>64236</v>
      </c>
      <c r="D30" s="518">
        <v>0.42499999999999999</v>
      </c>
      <c r="E30" s="508">
        <v>1</v>
      </c>
      <c r="F30" s="578">
        <v>9</v>
      </c>
      <c r="G30" s="507">
        <f>F30/12</f>
        <v>0.75</v>
      </c>
      <c r="H30" s="579">
        <f>ROUND(C30*(1+D30)*E30*G30,0)</f>
        <v>68652</v>
      </c>
      <c r="I30" s="580" t="s">
        <v>15</v>
      </c>
      <c r="J30" s="575" t="s">
        <v>23</v>
      </c>
      <c r="K30" s="581"/>
    </row>
    <row r="31" spans="1:11" x14ac:dyDescent="0.2">
      <c r="A31" s="531" t="s">
        <v>17</v>
      </c>
      <c r="B31" s="564" t="s">
        <v>17</v>
      </c>
      <c r="C31" s="512">
        <v>68090</v>
      </c>
      <c r="D31" s="516">
        <v>0.42499999999999999</v>
      </c>
      <c r="E31" s="504">
        <v>1</v>
      </c>
      <c r="F31" s="582">
        <v>12</v>
      </c>
      <c r="G31" s="503">
        <f>F31/12</f>
        <v>1</v>
      </c>
      <c r="H31" s="583">
        <f>ROUND(C31*(1+D31)*E31*G31,0)</f>
        <v>97028</v>
      </c>
      <c r="I31" s="584" t="s">
        <v>15</v>
      </c>
      <c r="J31" s="559"/>
      <c r="K31" s="581"/>
    </row>
    <row r="32" spans="1:11" x14ac:dyDescent="0.2">
      <c r="A32" s="531" t="s">
        <v>18</v>
      </c>
      <c r="B32" s="565" t="s">
        <v>18</v>
      </c>
      <c r="C32" s="512">
        <v>72176</v>
      </c>
      <c r="D32" s="516">
        <v>0.42499999999999999</v>
      </c>
      <c r="E32" s="504">
        <v>1</v>
      </c>
      <c r="F32" s="594">
        <v>12</v>
      </c>
      <c r="G32" s="503">
        <f>F32/12</f>
        <v>1</v>
      </c>
      <c r="H32" s="583">
        <f>ROUND(C32*(1+D32)*E32*G32,0)</f>
        <v>102851</v>
      </c>
      <c r="I32" s="584" t="s">
        <v>15</v>
      </c>
      <c r="J32" s="559"/>
      <c r="K32" s="581"/>
    </row>
    <row r="33" spans="1:11" x14ac:dyDescent="0.2">
      <c r="A33" s="531" t="s">
        <v>19</v>
      </c>
      <c r="B33" s="565" t="s">
        <v>19</v>
      </c>
      <c r="C33" s="512">
        <v>76506</v>
      </c>
      <c r="D33" s="516">
        <v>0.42499999999999999</v>
      </c>
      <c r="E33" s="504">
        <v>1</v>
      </c>
      <c r="F33" s="594">
        <v>4.5</v>
      </c>
      <c r="G33" s="503">
        <f>F33/12</f>
        <v>0.375</v>
      </c>
      <c r="H33" s="583">
        <f>ROUND(C33*(1+D33)*E33*G33,0)</f>
        <v>40883</v>
      </c>
      <c r="I33" s="584" t="s">
        <v>15</v>
      </c>
      <c r="J33" s="559"/>
      <c r="K33" s="581"/>
    </row>
    <row r="34" spans="1:11" x14ac:dyDescent="0.2">
      <c r="A34" s="531" t="s">
        <v>20</v>
      </c>
      <c r="B34" s="566" t="s">
        <v>20</v>
      </c>
      <c r="C34" s="511">
        <v>81097</v>
      </c>
      <c r="D34" s="514">
        <v>0.42499999999999999</v>
      </c>
      <c r="E34" s="500">
        <v>1</v>
      </c>
      <c r="F34" s="585">
        <v>0</v>
      </c>
      <c r="G34" s="499">
        <f>F34/12</f>
        <v>0</v>
      </c>
      <c r="H34" s="586">
        <f>ROUND(C34*(1+D34)*E34*G34,0)</f>
        <v>0</v>
      </c>
      <c r="I34" s="587" t="s">
        <v>15</v>
      </c>
      <c r="J34" s="570"/>
      <c r="K34" s="581"/>
    </row>
    <row r="35" spans="1:11" ht="57" customHeight="1" x14ac:dyDescent="0.2">
      <c r="B35" s="1118" t="s">
        <v>31</v>
      </c>
      <c r="C35" s="1119"/>
      <c r="D35" s="1119"/>
      <c r="E35" s="1119"/>
      <c r="F35" s="1119"/>
      <c r="G35" s="1119"/>
      <c r="H35" s="1119"/>
      <c r="I35" s="1119"/>
      <c r="J35" s="1120"/>
      <c r="K35" s="588"/>
    </row>
    <row r="36" spans="1:11" ht="24" x14ac:dyDescent="0.2">
      <c r="A36" s="531" t="s">
        <v>13</v>
      </c>
      <c r="B36" s="566" t="s">
        <v>346</v>
      </c>
      <c r="C36" s="513">
        <v>111367.38</v>
      </c>
      <c r="D36" s="518">
        <v>0.42499999999999999</v>
      </c>
      <c r="E36" s="508">
        <v>1</v>
      </c>
      <c r="F36" s="595">
        <v>9</v>
      </c>
      <c r="G36" s="507">
        <f>F36/12</f>
        <v>0.75</v>
      </c>
      <c r="H36" s="579">
        <f>ROUND(C36*(1+D36)*E36*G36,0)</f>
        <v>119024</v>
      </c>
      <c r="I36" s="580" t="s">
        <v>15</v>
      </c>
      <c r="J36" s="575" t="s">
        <v>23</v>
      </c>
      <c r="K36" s="596" t="s">
        <v>347</v>
      </c>
    </row>
    <row r="37" spans="1:11" x14ac:dyDescent="0.2">
      <c r="A37" s="531" t="s">
        <v>17</v>
      </c>
      <c r="B37" s="564" t="s">
        <v>17</v>
      </c>
      <c r="C37" s="512">
        <v>134913.62</v>
      </c>
      <c r="D37" s="516">
        <v>0.42499999999999999</v>
      </c>
      <c r="E37" s="504">
        <v>1</v>
      </c>
      <c r="F37" s="582">
        <v>12</v>
      </c>
      <c r="G37" s="503">
        <f>F37/12</f>
        <v>1</v>
      </c>
      <c r="H37" s="583">
        <f>ROUND(C37*(1+D37)*E37*G37,0)</f>
        <v>192252</v>
      </c>
      <c r="I37" s="584" t="s">
        <v>15</v>
      </c>
      <c r="J37" s="559"/>
      <c r="K37" s="581"/>
    </row>
    <row r="38" spans="1:11" x14ac:dyDescent="0.2">
      <c r="A38" s="531" t="s">
        <v>18</v>
      </c>
      <c r="B38" s="565" t="s">
        <v>18</v>
      </c>
      <c r="C38" s="512">
        <v>143008.44</v>
      </c>
      <c r="D38" s="516">
        <v>0.42499999999999999</v>
      </c>
      <c r="E38" s="504">
        <v>1</v>
      </c>
      <c r="F38" s="582">
        <v>12</v>
      </c>
      <c r="G38" s="503">
        <f>F38/12</f>
        <v>1</v>
      </c>
      <c r="H38" s="583">
        <f>ROUND(C38*(1+D38)*E38*G38,0)</f>
        <v>203787</v>
      </c>
      <c r="I38" s="584" t="s">
        <v>15</v>
      </c>
      <c r="J38" s="559"/>
      <c r="K38" s="581"/>
    </row>
    <row r="39" spans="1:11" x14ac:dyDescent="0.2">
      <c r="A39" s="531" t="s">
        <v>19</v>
      </c>
      <c r="B39" s="565" t="s">
        <v>19</v>
      </c>
      <c r="C39" s="512">
        <v>151588.94</v>
      </c>
      <c r="D39" s="516">
        <v>0.42499999999999999</v>
      </c>
      <c r="E39" s="504">
        <v>1</v>
      </c>
      <c r="F39" s="582">
        <v>12</v>
      </c>
      <c r="G39" s="503">
        <f>F39/12</f>
        <v>1</v>
      </c>
      <c r="H39" s="583">
        <f>ROUND(C39*(1+D39)*E39*G39,0)</f>
        <v>216014</v>
      </c>
      <c r="I39" s="584" t="s">
        <v>15</v>
      </c>
      <c r="J39" s="559"/>
      <c r="K39" s="581"/>
    </row>
    <row r="40" spans="1:11" x14ac:dyDescent="0.2">
      <c r="A40" s="531" t="s">
        <v>20</v>
      </c>
      <c r="B40" s="566" t="s">
        <v>20</v>
      </c>
      <c r="C40" s="511">
        <v>160684.28</v>
      </c>
      <c r="D40" s="514">
        <v>0.42499999999999999</v>
      </c>
      <c r="E40" s="500">
        <v>1</v>
      </c>
      <c r="F40" s="585">
        <v>12</v>
      </c>
      <c r="G40" s="499">
        <f>F40/12</f>
        <v>1</v>
      </c>
      <c r="H40" s="586">
        <f>ROUND(C40*(1+D40)*E40*G40,0)</f>
        <v>228975</v>
      </c>
      <c r="I40" s="587" t="s">
        <v>15</v>
      </c>
      <c r="J40" s="570"/>
      <c r="K40" s="581"/>
    </row>
    <row r="41" spans="1:11" ht="12.75" customHeight="1" x14ac:dyDescent="0.2">
      <c r="B41" s="1118" t="s">
        <v>348</v>
      </c>
      <c r="C41" s="1119"/>
      <c r="D41" s="1119"/>
      <c r="E41" s="1119"/>
      <c r="F41" s="1119"/>
      <c r="G41" s="1119"/>
      <c r="H41" s="1119"/>
      <c r="I41" s="1119"/>
      <c r="J41" s="1120"/>
      <c r="K41" s="588"/>
    </row>
    <row r="42" spans="1:11" ht="24" x14ac:dyDescent="0.2">
      <c r="A42" s="531" t="s">
        <v>13</v>
      </c>
      <c r="B42" s="566" t="s">
        <v>34</v>
      </c>
      <c r="C42" s="513">
        <v>90208.13</v>
      </c>
      <c r="D42" s="518">
        <v>0.42499999999999999</v>
      </c>
      <c r="E42" s="508">
        <v>1</v>
      </c>
      <c r="F42" s="595">
        <v>9</v>
      </c>
      <c r="G42" s="507">
        <f>F42/12</f>
        <v>0.75</v>
      </c>
      <c r="H42" s="579">
        <f>ROUND(C42*(1+D42)*E42*G42,0)</f>
        <v>96410</v>
      </c>
      <c r="I42" s="580" t="s">
        <v>15</v>
      </c>
      <c r="J42" s="575" t="s">
        <v>23</v>
      </c>
      <c r="K42" s="596" t="s">
        <v>347</v>
      </c>
    </row>
    <row r="43" spans="1:11" x14ac:dyDescent="0.2">
      <c r="A43" s="531" t="s">
        <v>17</v>
      </c>
      <c r="B43" s="564" t="s">
        <v>17</v>
      </c>
      <c r="C43" s="512">
        <v>109280.7</v>
      </c>
      <c r="D43" s="516">
        <v>0.42499999999999999</v>
      </c>
      <c r="E43" s="504">
        <v>1</v>
      </c>
      <c r="F43" s="582">
        <v>12</v>
      </c>
      <c r="G43" s="503">
        <f>F43/12</f>
        <v>1</v>
      </c>
      <c r="H43" s="583">
        <f>ROUND(C43*(1+D43)*E43*G43,0)</f>
        <v>155725</v>
      </c>
      <c r="I43" s="584" t="s">
        <v>15</v>
      </c>
      <c r="J43" s="559"/>
      <c r="K43" s="581"/>
    </row>
    <row r="44" spans="1:11" x14ac:dyDescent="0.2">
      <c r="A44" s="531" t="s">
        <v>18</v>
      </c>
      <c r="B44" s="565" t="s">
        <v>18</v>
      </c>
      <c r="C44" s="512">
        <v>115837.54</v>
      </c>
      <c r="D44" s="516">
        <v>0.42499999999999999</v>
      </c>
      <c r="E44" s="504">
        <v>1</v>
      </c>
      <c r="F44" s="582">
        <v>12</v>
      </c>
      <c r="G44" s="503">
        <f>F44/12</f>
        <v>1</v>
      </c>
      <c r="H44" s="583">
        <f>ROUND(C44*(1+D44)*E44*G44,0)</f>
        <v>165068</v>
      </c>
      <c r="I44" s="584" t="s">
        <v>15</v>
      </c>
      <c r="J44" s="559"/>
      <c r="K44" s="581"/>
    </row>
    <row r="45" spans="1:11" x14ac:dyDescent="0.2">
      <c r="A45" s="531" t="s">
        <v>19</v>
      </c>
      <c r="B45" s="565" t="s">
        <v>19</v>
      </c>
      <c r="C45" s="512">
        <v>122787.79</v>
      </c>
      <c r="D45" s="516">
        <v>0.42499999999999999</v>
      </c>
      <c r="E45" s="504">
        <v>1</v>
      </c>
      <c r="F45" s="582">
        <v>12</v>
      </c>
      <c r="G45" s="503">
        <f>F45/12</f>
        <v>1</v>
      </c>
      <c r="H45" s="583">
        <f>ROUND(C45*(1+D45)*E45*G45,0)</f>
        <v>174973</v>
      </c>
      <c r="I45" s="584" t="s">
        <v>15</v>
      </c>
      <c r="J45" s="559"/>
      <c r="K45" s="581"/>
    </row>
    <row r="46" spans="1:11" x14ac:dyDescent="0.2">
      <c r="A46" s="531" t="s">
        <v>20</v>
      </c>
      <c r="B46" s="566" t="s">
        <v>20</v>
      </c>
      <c r="C46" s="511">
        <v>130155.06</v>
      </c>
      <c r="D46" s="514">
        <v>0.42499999999999999</v>
      </c>
      <c r="E46" s="500">
        <v>1</v>
      </c>
      <c r="F46" s="585">
        <v>12</v>
      </c>
      <c r="G46" s="499">
        <f>F46/12</f>
        <v>1</v>
      </c>
      <c r="H46" s="586">
        <f>ROUND(C46*(1+D46)*E46*G46,0)</f>
        <v>185471</v>
      </c>
      <c r="I46" s="587" t="s">
        <v>15</v>
      </c>
      <c r="J46" s="570"/>
      <c r="K46" s="581"/>
    </row>
    <row r="47" spans="1:11" x14ac:dyDescent="0.2">
      <c r="B47" s="1118" t="s">
        <v>35</v>
      </c>
      <c r="C47" s="1119"/>
      <c r="D47" s="1119"/>
      <c r="E47" s="1119"/>
      <c r="F47" s="1119"/>
      <c r="G47" s="1119"/>
      <c r="H47" s="1119"/>
      <c r="I47" s="1119"/>
      <c r="J47" s="1120"/>
      <c r="K47" s="588"/>
    </row>
    <row r="48" spans="1:11" x14ac:dyDescent="0.2">
      <c r="A48" s="531" t="s">
        <v>13</v>
      </c>
      <c r="B48" s="566" t="s">
        <v>36</v>
      </c>
      <c r="C48" s="513">
        <v>114550</v>
      </c>
      <c r="D48" s="518">
        <v>0.42499999999999999</v>
      </c>
      <c r="E48" s="508">
        <v>1</v>
      </c>
      <c r="F48" s="578">
        <v>9</v>
      </c>
      <c r="G48" s="507">
        <f>F48/12</f>
        <v>0.75</v>
      </c>
      <c r="H48" s="579">
        <f>ROUND(C48*(1+D48)*E48*G48,0)</f>
        <v>122425</v>
      </c>
      <c r="I48" s="580" t="s">
        <v>15</v>
      </c>
      <c r="J48" s="575" t="s">
        <v>23</v>
      </c>
      <c r="K48" s="576"/>
    </row>
    <row r="49" spans="1:12" x14ac:dyDescent="0.2">
      <c r="A49" s="531" t="s">
        <v>17</v>
      </c>
      <c r="B49" s="564" t="s">
        <v>17</v>
      </c>
      <c r="C49" s="512">
        <v>121423</v>
      </c>
      <c r="D49" s="516">
        <v>0.42499999999999999</v>
      </c>
      <c r="E49" s="504">
        <v>1</v>
      </c>
      <c r="F49" s="582">
        <v>12</v>
      </c>
      <c r="G49" s="503">
        <f>F49/12</f>
        <v>1</v>
      </c>
      <c r="H49" s="583">
        <f>ROUND(C49*(1+D49)*E49*G49,0)</f>
        <v>173028</v>
      </c>
      <c r="I49" s="584" t="s">
        <v>15</v>
      </c>
      <c r="J49" s="559"/>
      <c r="K49" s="576"/>
    </row>
    <row r="50" spans="1:12" x14ac:dyDescent="0.2">
      <c r="A50" s="531" t="s">
        <v>18</v>
      </c>
      <c r="B50" s="565" t="s">
        <v>18</v>
      </c>
      <c r="C50" s="512">
        <v>128708</v>
      </c>
      <c r="D50" s="516">
        <v>0.42499999999999999</v>
      </c>
      <c r="E50" s="504">
        <v>1</v>
      </c>
      <c r="F50" s="582">
        <v>12</v>
      </c>
      <c r="G50" s="503">
        <f>F50/12</f>
        <v>1</v>
      </c>
      <c r="H50" s="583">
        <f>ROUND(C50*(1+D50)*E50*G50,0)</f>
        <v>183409</v>
      </c>
      <c r="I50" s="584" t="s">
        <v>15</v>
      </c>
      <c r="J50" s="559"/>
      <c r="K50" s="576"/>
    </row>
    <row r="51" spans="1:12" x14ac:dyDescent="0.2">
      <c r="A51" s="531" t="s">
        <v>19</v>
      </c>
      <c r="B51" s="565" t="s">
        <v>19</v>
      </c>
      <c r="C51" s="512">
        <v>136431</v>
      </c>
      <c r="D51" s="516">
        <v>0.42499999999999999</v>
      </c>
      <c r="E51" s="504">
        <v>1</v>
      </c>
      <c r="F51" s="582">
        <v>3</v>
      </c>
      <c r="G51" s="503">
        <f>F51/12</f>
        <v>0.25</v>
      </c>
      <c r="H51" s="583">
        <f>ROUND(C51*(1+D51)*E51*G51,0)</f>
        <v>48604</v>
      </c>
      <c r="I51" s="584" t="s">
        <v>15</v>
      </c>
      <c r="J51" s="559"/>
      <c r="K51" s="576"/>
    </row>
    <row r="52" spans="1:12" x14ac:dyDescent="0.2">
      <c r="A52" s="531" t="s">
        <v>20</v>
      </c>
      <c r="B52" s="566" t="s">
        <v>20</v>
      </c>
      <c r="C52" s="511">
        <v>144617</v>
      </c>
      <c r="D52" s="514">
        <v>0.42499999999999999</v>
      </c>
      <c r="E52" s="500">
        <v>1</v>
      </c>
      <c r="F52" s="585">
        <v>0</v>
      </c>
      <c r="G52" s="499">
        <f>F52/12</f>
        <v>0</v>
      </c>
      <c r="H52" s="586">
        <f>ROUND(C52*(1+D52)*E52*G52,0)</f>
        <v>0</v>
      </c>
      <c r="I52" s="587" t="s">
        <v>15</v>
      </c>
      <c r="J52" s="570"/>
      <c r="K52" s="576"/>
    </row>
    <row r="53" spans="1:12" ht="25.5" customHeight="1" x14ac:dyDescent="0.2">
      <c r="B53" s="1118" t="s">
        <v>37</v>
      </c>
      <c r="C53" s="1119"/>
      <c r="D53" s="1119"/>
      <c r="E53" s="1119"/>
      <c r="F53" s="1119"/>
      <c r="G53" s="1119"/>
      <c r="H53" s="1119"/>
      <c r="I53" s="1119"/>
      <c r="J53" s="1120"/>
      <c r="K53" s="597"/>
    </row>
    <row r="54" spans="1:12" ht="36" x14ac:dyDescent="0.2">
      <c r="A54" s="531" t="s">
        <v>13</v>
      </c>
      <c r="B54" s="566" t="s">
        <v>38</v>
      </c>
      <c r="C54" s="519">
        <v>54891.199999999997</v>
      </c>
      <c r="D54" s="518">
        <v>0.42499999999999999</v>
      </c>
      <c r="E54" s="508">
        <v>1</v>
      </c>
      <c r="F54" s="578">
        <v>5</v>
      </c>
      <c r="G54" s="507">
        <f>F54/12</f>
        <v>0.41666666666666669</v>
      </c>
      <c r="H54" s="579">
        <f>ROUND(C54*(1+D54)*E54*G54,0)</f>
        <v>32592</v>
      </c>
      <c r="I54" s="580" t="s">
        <v>15</v>
      </c>
      <c r="J54" s="575" t="s">
        <v>16</v>
      </c>
      <c r="K54" s="547"/>
      <c r="L54" s="598"/>
    </row>
    <row r="55" spans="1:12" x14ac:dyDescent="0.2">
      <c r="A55" s="531" t="s">
        <v>17</v>
      </c>
      <c r="B55" s="564" t="s">
        <v>17</v>
      </c>
      <c r="C55" s="517">
        <v>58185</v>
      </c>
      <c r="D55" s="516">
        <v>0.42499999999999999</v>
      </c>
      <c r="E55" s="504">
        <v>1</v>
      </c>
      <c r="F55" s="582">
        <v>12</v>
      </c>
      <c r="G55" s="503">
        <f>F55/12</f>
        <v>1</v>
      </c>
      <c r="H55" s="583">
        <f>ROUND(C55*(1+D55)*E55*G55,0)</f>
        <v>82914</v>
      </c>
      <c r="I55" s="584" t="s">
        <v>15</v>
      </c>
      <c r="J55" s="559"/>
      <c r="K55" s="547"/>
      <c r="L55" s="598"/>
    </row>
    <row r="56" spans="1:12" x14ac:dyDescent="0.2">
      <c r="A56" s="531" t="s">
        <v>18</v>
      </c>
      <c r="B56" s="565" t="s">
        <v>18</v>
      </c>
      <c r="C56" s="517">
        <v>61676</v>
      </c>
      <c r="D56" s="516">
        <v>0.42499999999999999</v>
      </c>
      <c r="E56" s="504">
        <v>1</v>
      </c>
      <c r="F56" s="582">
        <v>12</v>
      </c>
      <c r="G56" s="503">
        <f>F56/12</f>
        <v>1</v>
      </c>
      <c r="H56" s="583">
        <f>ROUND(C56*(1+D56)*E56*G56,0)</f>
        <v>87888</v>
      </c>
      <c r="I56" s="584" t="s">
        <v>15</v>
      </c>
      <c r="J56" s="559"/>
      <c r="K56" s="547"/>
      <c r="L56" s="598"/>
    </row>
    <row r="57" spans="1:12" x14ac:dyDescent="0.2">
      <c r="A57" s="531" t="s">
        <v>19</v>
      </c>
      <c r="B57" s="565" t="s">
        <v>19</v>
      </c>
      <c r="C57" s="517">
        <v>65376</v>
      </c>
      <c r="D57" s="516">
        <v>0.42499999999999999</v>
      </c>
      <c r="E57" s="504">
        <v>1</v>
      </c>
      <c r="F57" s="582">
        <v>7</v>
      </c>
      <c r="G57" s="503">
        <f>F57/12</f>
        <v>0.58333333333333337</v>
      </c>
      <c r="H57" s="583">
        <f>ROUND(C57*(1+D57)*E57*G57,0)</f>
        <v>54344</v>
      </c>
      <c r="I57" s="584" t="s">
        <v>15</v>
      </c>
      <c r="J57" s="559"/>
      <c r="K57" s="547"/>
      <c r="L57" s="598"/>
    </row>
    <row r="58" spans="1:12" x14ac:dyDescent="0.2">
      <c r="A58" s="531" t="s">
        <v>20</v>
      </c>
      <c r="B58" s="566" t="s">
        <v>20</v>
      </c>
      <c r="C58" s="515">
        <v>69299</v>
      </c>
      <c r="D58" s="514">
        <v>0.42499999999999999</v>
      </c>
      <c r="E58" s="500">
        <v>1</v>
      </c>
      <c r="F58" s="585">
        <v>0</v>
      </c>
      <c r="G58" s="499">
        <f>F58/12</f>
        <v>0</v>
      </c>
      <c r="H58" s="586">
        <f>ROUND(C58*(1+D58)*E58*G58,0)</f>
        <v>0</v>
      </c>
      <c r="I58" s="587" t="s">
        <v>15</v>
      </c>
      <c r="J58" s="570"/>
      <c r="K58" s="547"/>
      <c r="L58" s="598"/>
    </row>
    <row r="59" spans="1:12" ht="23.25" customHeight="1" x14ac:dyDescent="0.2">
      <c r="B59" s="1115" t="s">
        <v>39</v>
      </c>
      <c r="C59" s="1116"/>
      <c r="D59" s="1116"/>
      <c r="E59" s="1116"/>
      <c r="F59" s="1116"/>
      <c r="G59" s="1116"/>
      <c r="H59" s="1116"/>
      <c r="I59" s="1116"/>
      <c r="J59" s="1117"/>
      <c r="K59" s="599"/>
    </row>
    <row r="60" spans="1:12" ht="24" x14ac:dyDescent="0.2">
      <c r="A60" s="531" t="s">
        <v>13</v>
      </c>
      <c r="B60" s="566" t="s">
        <v>40</v>
      </c>
      <c r="C60" s="519">
        <v>59301</v>
      </c>
      <c r="D60" s="518">
        <v>0.42499999999999999</v>
      </c>
      <c r="E60" s="508">
        <v>1</v>
      </c>
      <c r="F60" s="578">
        <v>5</v>
      </c>
      <c r="G60" s="507">
        <f>F60/12</f>
        <v>0.41666666666666669</v>
      </c>
      <c r="H60" s="579">
        <f>ROUND(C60*(1+D60)*E60*G60,0)</f>
        <v>35210</v>
      </c>
      <c r="I60" s="580" t="s">
        <v>15</v>
      </c>
      <c r="J60" s="575" t="s">
        <v>16</v>
      </c>
      <c r="K60" s="547"/>
      <c r="L60" s="598"/>
    </row>
    <row r="61" spans="1:12" x14ac:dyDescent="0.2">
      <c r="A61" s="531" t="s">
        <v>17</v>
      </c>
      <c r="B61" s="564" t="s">
        <v>17</v>
      </c>
      <c r="C61" s="517">
        <v>62859</v>
      </c>
      <c r="D61" s="516">
        <v>0.42499999999999999</v>
      </c>
      <c r="E61" s="504">
        <v>1</v>
      </c>
      <c r="F61" s="582">
        <v>12</v>
      </c>
      <c r="G61" s="503">
        <f>F61/12</f>
        <v>1</v>
      </c>
      <c r="H61" s="583">
        <f>ROUND(C61*(1+D61)*E61*G61,0)</f>
        <v>89574</v>
      </c>
      <c r="I61" s="584" t="s">
        <v>15</v>
      </c>
      <c r="J61" s="559"/>
      <c r="K61" s="547"/>
      <c r="L61" s="598"/>
    </row>
    <row r="62" spans="1:12" x14ac:dyDescent="0.2">
      <c r="A62" s="531" t="s">
        <v>18</v>
      </c>
      <c r="B62" s="565" t="s">
        <v>18</v>
      </c>
      <c r="C62" s="517">
        <v>66630</v>
      </c>
      <c r="D62" s="516">
        <v>0.42499999999999999</v>
      </c>
      <c r="E62" s="504">
        <v>1</v>
      </c>
      <c r="F62" s="582">
        <v>12</v>
      </c>
      <c r="G62" s="503">
        <f>F62/12</f>
        <v>1</v>
      </c>
      <c r="H62" s="583">
        <f>ROUND(C62*(1+D62)*E62*G62,0)</f>
        <v>94948</v>
      </c>
      <c r="I62" s="584" t="s">
        <v>15</v>
      </c>
      <c r="J62" s="559"/>
      <c r="K62" s="547"/>
      <c r="L62" s="598"/>
    </row>
    <row r="63" spans="1:12" x14ac:dyDescent="0.2">
      <c r="A63" s="531" t="s">
        <v>19</v>
      </c>
      <c r="B63" s="565" t="s">
        <v>19</v>
      </c>
      <c r="C63" s="517">
        <v>70628</v>
      </c>
      <c r="D63" s="516">
        <v>0.42499999999999999</v>
      </c>
      <c r="E63" s="504">
        <v>1</v>
      </c>
      <c r="F63" s="582">
        <v>7</v>
      </c>
      <c r="G63" s="503">
        <f>F63/12</f>
        <v>0.58333333333333337</v>
      </c>
      <c r="H63" s="583">
        <f>ROUND(C63*(1+D63)*E63*G63,0)</f>
        <v>58710</v>
      </c>
      <c r="I63" s="584" t="s">
        <v>15</v>
      </c>
      <c r="J63" s="559"/>
      <c r="K63" s="547"/>
      <c r="L63" s="598"/>
    </row>
    <row r="64" spans="1:12" x14ac:dyDescent="0.2">
      <c r="A64" s="531" t="s">
        <v>20</v>
      </c>
      <c r="B64" s="566" t="s">
        <v>20</v>
      </c>
      <c r="C64" s="515">
        <v>74866</v>
      </c>
      <c r="D64" s="514">
        <v>0.42499999999999999</v>
      </c>
      <c r="E64" s="500">
        <v>1</v>
      </c>
      <c r="F64" s="585">
        <v>0</v>
      </c>
      <c r="G64" s="499">
        <f>F64/12</f>
        <v>0</v>
      </c>
      <c r="H64" s="586">
        <f>ROUND(C64*(1+D64)*E64*G64,0)</f>
        <v>0</v>
      </c>
      <c r="I64" s="587" t="s">
        <v>15</v>
      </c>
      <c r="J64" s="570"/>
      <c r="K64" s="547"/>
      <c r="L64" s="598"/>
    </row>
    <row r="65" spans="1:12" ht="21.75" customHeight="1" x14ac:dyDescent="0.2">
      <c r="B65" s="1115" t="s">
        <v>39</v>
      </c>
      <c r="C65" s="1116"/>
      <c r="D65" s="1116"/>
      <c r="E65" s="1116"/>
      <c r="F65" s="1116"/>
      <c r="G65" s="1116"/>
      <c r="H65" s="1116"/>
      <c r="I65" s="1116"/>
      <c r="J65" s="1117"/>
      <c r="K65" s="588"/>
    </row>
    <row r="66" spans="1:12" ht="24" x14ac:dyDescent="0.2">
      <c r="A66" s="531" t="s">
        <v>13</v>
      </c>
      <c r="B66" s="600" t="s">
        <v>41</v>
      </c>
      <c r="C66" s="519">
        <v>79310.399999999994</v>
      </c>
      <c r="D66" s="518">
        <v>0.42499999999999999</v>
      </c>
      <c r="E66" s="508">
        <v>1</v>
      </c>
      <c r="F66" s="578">
        <v>5</v>
      </c>
      <c r="G66" s="507">
        <f>F66/12</f>
        <v>0.41666666666666669</v>
      </c>
      <c r="H66" s="579">
        <f>ROUND(C66*(1+D66)*E66*G66,0)</f>
        <v>47091</v>
      </c>
      <c r="I66" s="580" t="s">
        <v>15</v>
      </c>
      <c r="J66" s="575" t="s">
        <v>16</v>
      </c>
      <c r="K66" s="547"/>
      <c r="L66" s="598"/>
    </row>
    <row r="67" spans="1:12" x14ac:dyDescent="0.2">
      <c r="A67" s="531" t="s">
        <v>17</v>
      </c>
      <c r="B67" s="601" t="s">
        <v>17</v>
      </c>
      <c r="C67" s="517">
        <v>84069</v>
      </c>
      <c r="D67" s="516">
        <v>0.42499999999999999</v>
      </c>
      <c r="E67" s="504">
        <v>1</v>
      </c>
      <c r="F67" s="582">
        <v>12</v>
      </c>
      <c r="G67" s="503">
        <f>F67/12</f>
        <v>1</v>
      </c>
      <c r="H67" s="583">
        <f>ROUND(C67*(1+D67)*E67*G67,0)</f>
        <v>119798</v>
      </c>
      <c r="I67" s="584" t="s">
        <v>15</v>
      </c>
      <c r="J67" s="559"/>
      <c r="K67" s="547"/>
      <c r="L67" s="598"/>
    </row>
    <row r="68" spans="1:12" x14ac:dyDescent="0.2">
      <c r="A68" s="531" t="s">
        <v>18</v>
      </c>
      <c r="B68" s="601" t="s">
        <v>18</v>
      </c>
      <c r="C68" s="517">
        <v>89113</v>
      </c>
      <c r="D68" s="516">
        <v>0.42499999999999999</v>
      </c>
      <c r="E68" s="504">
        <v>1</v>
      </c>
      <c r="F68" s="582">
        <v>12</v>
      </c>
      <c r="G68" s="503">
        <f>F68/12</f>
        <v>1</v>
      </c>
      <c r="H68" s="583">
        <f>ROUND(C68*(1+D68)*E68*G68,0)</f>
        <v>126986</v>
      </c>
      <c r="I68" s="584" t="s">
        <v>15</v>
      </c>
      <c r="J68" s="559"/>
      <c r="K68" s="547"/>
      <c r="L68" s="598"/>
    </row>
    <row r="69" spans="1:12" x14ac:dyDescent="0.2">
      <c r="A69" s="531" t="s">
        <v>19</v>
      </c>
      <c r="B69" s="601" t="s">
        <v>19</v>
      </c>
      <c r="C69" s="517">
        <v>94460</v>
      </c>
      <c r="D69" s="516">
        <v>0.42499999999999999</v>
      </c>
      <c r="E69" s="504">
        <v>1</v>
      </c>
      <c r="F69" s="582">
        <v>11</v>
      </c>
      <c r="G69" s="503">
        <f>F69/12</f>
        <v>0.91666666666666663</v>
      </c>
      <c r="H69" s="583">
        <f>ROUND(C69*(1+D69)*E69*G69,0)</f>
        <v>123388</v>
      </c>
      <c r="I69" s="584" t="s">
        <v>15</v>
      </c>
      <c r="J69" s="559"/>
      <c r="K69" s="547"/>
      <c r="L69" s="598"/>
    </row>
    <row r="70" spans="1:12" x14ac:dyDescent="0.2">
      <c r="A70" s="531" t="s">
        <v>20</v>
      </c>
      <c r="B70" s="602" t="s">
        <v>20</v>
      </c>
      <c r="C70" s="515">
        <v>100128</v>
      </c>
      <c r="D70" s="514">
        <v>0.42499999999999999</v>
      </c>
      <c r="E70" s="500">
        <v>1</v>
      </c>
      <c r="F70" s="585">
        <v>0</v>
      </c>
      <c r="G70" s="499">
        <f>F70/12</f>
        <v>0</v>
      </c>
      <c r="H70" s="586">
        <f>ROUND(C70*(1+D70)*E70*G70,0)</f>
        <v>0</v>
      </c>
      <c r="I70" s="587" t="s">
        <v>15</v>
      </c>
      <c r="J70" s="570"/>
      <c r="K70" s="547"/>
      <c r="L70" s="598"/>
    </row>
    <row r="71" spans="1:12" ht="27.75" customHeight="1" x14ac:dyDescent="0.2">
      <c r="B71" s="1115" t="s">
        <v>42</v>
      </c>
      <c r="C71" s="1116"/>
      <c r="D71" s="1116"/>
      <c r="E71" s="1116"/>
      <c r="F71" s="1116"/>
      <c r="G71" s="1116"/>
      <c r="H71" s="1116"/>
      <c r="I71" s="1116"/>
      <c r="J71" s="1117"/>
      <c r="K71" s="588"/>
    </row>
    <row r="72" spans="1:12" ht="24" x14ac:dyDescent="0.2">
      <c r="A72" s="531" t="s">
        <v>13</v>
      </c>
      <c r="B72" s="566" t="s">
        <v>43</v>
      </c>
      <c r="C72" s="513">
        <v>79310.399999999994</v>
      </c>
      <c r="D72" s="509">
        <v>0.42499999999999999</v>
      </c>
      <c r="E72" s="508">
        <v>1</v>
      </c>
      <c r="F72" s="572">
        <v>5</v>
      </c>
      <c r="G72" s="507">
        <f>F72/12</f>
        <v>0.41666666666666669</v>
      </c>
      <c r="H72" s="573">
        <f>ROUND(C72*(1+D72)*E72*G72,0)</f>
        <v>47091</v>
      </c>
      <c r="I72" s="574" t="s">
        <v>15</v>
      </c>
      <c r="J72" s="575" t="s">
        <v>16</v>
      </c>
      <c r="K72" s="547"/>
      <c r="L72" s="598"/>
    </row>
    <row r="73" spans="1:12" x14ac:dyDescent="0.2">
      <c r="A73" s="531" t="s">
        <v>17</v>
      </c>
      <c r="B73" s="564" t="s">
        <v>17</v>
      </c>
      <c r="C73" s="512">
        <v>84069</v>
      </c>
      <c r="D73" s="505">
        <v>0.42499999999999999</v>
      </c>
      <c r="E73" s="504">
        <v>1</v>
      </c>
      <c r="F73" s="561">
        <v>12</v>
      </c>
      <c r="G73" s="503">
        <f>F73/12</f>
        <v>1</v>
      </c>
      <c r="H73" s="562">
        <f>ROUND(C73*(1+D73)*E73*G73,0)</f>
        <v>119798</v>
      </c>
      <c r="I73" s="563" t="s">
        <v>15</v>
      </c>
      <c r="J73" s="559"/>
      <c r="K73" s="547"/>
      <c r="L73" s="598"/>
    </row>
    <row r="74" spans="1:12" x14ac:dyDescent="0.2">
      <c r="A74" s="531" t="s">
        <v>18</v>
      </c>
      <c r="B74" s="565" t="s">
        <v>18</v>
      </c>
      <c r="C74" s="512">
        <v>89113</v>
      </c>
      <c r="D74" s="505">
        <v>0.42499999999999999</v>
      </c>
      <c r="E74" s="504">
        <v>1</v>
      </c>
      <c r="F74" s="561">
        <v>12</v>
      </c>
      <c r="G74" s="503">
        <f>F74/12</f>
        <v>1</v>
      </c>
      <c r="H74" s="562">
        <f>ROUND(C74*(1+D74)*E74*G74,0)</f>
        <v>126986</v>
      </c>
      <c r="I74" s="563" t="s">
        <v>15</v>
      </c>
      <c r="J74" s="559"/>
      <c r="K74" s="547"/>
      <c r="L74" s="598"/>
    </row>
    <row r="75" spans="1:12" x14ac:dyDescent="0.2">
      <c r="A75" s="531" t="s">
        <v>19</v>
      </c>
      <c r="B75" s="565" t="s">
        <v>19</v>
      </c>
      <c r="C75" s="512">
        <v>94460</v>
      </c>
      <c r="D75" s="505">
        <v>0.42499999999999999</v>
      </c>
      <c r="E75" s="504">
        <v>1</v>
      </c>
      <c r="F75" s="561">
        <v>11</v>
      </c>
      <c r="G75" s="503">
        <f>F75/12</f>
        <v>0.91666666666666663</v>
      </c>
      <c r="H75" s="562">
        <f>ROUND(C75*(1+D75)*E75*G75,0)</f>
        <v>123388</v>
      </c>
      <c r="I75" s="563" t="s">
        <v>15</v>
      </c>
      <c r="J75" s="559"/>
      <c r="K75" s="547"/>
      <c r="L75" s="598"/>
    </row>
    <row r="76" spans="1:12" x14ac:dyDescent="0.2">
      <c r="A76" s="531" t="s">
        <v>20</v>
      </c>
      <c r="B76" s="566" t="s">
        <v>20</v>
      </c>
      <c r="C76" s="511">
        <v>100128</v>
      </c>
      <c r="D76" s="501">
        <v>0.42499999999999999</v>
      </c>
      <c r="E76" s="500">
        <v>1</v>
      </c>
      <c r="F76" s="567">
        <v>0</v>
      </c>
      <c r="G76" s="499">
        <f>F76/12</f>
        <v>0</v>
      </c>
      <c r="H76" s="568">
        <f>ROUND(C76*(1+D76)*E76*G76,0)</f>
        <v>0</v>
      </c>
      <c r="I76" s="569" t="s">
        <v>15</v>
      </c>
      <c r="J76" s="570"/>
      <c r="K76" s="547"/>
      <c r="L76" s="598"/>
    </row>
    <row r="77" spans="1:12" ht="25.5" customHeight="1" x14ac:dyDescent="0.2">
      <c r="B77" s="1112" t="s">
        <v>42</v>
      </c>
      <c r="C77" s="1113"/>
      <c r="D77" s="1113"/>
      <c r="E77" s="1113"/>
      <c r="F77" s="1113"/>
      <c r="G77" s="1113"/>
      <c r="H77" s="1113"/>
      <c r="I77" s="1113"/>
      <c r="J77" s="1114"/>
      <c r="K77" s="588"/>
    </row>
    <row r="78" spans="1:12" ht="36" x14ac:dyDescent="0.2">
      <c r="A78" s="531" t="s">
        <v>13</v>
      </c>
      <c r="B78" s="566" t="s">
        <v>44</v>
      </c>
      <c r="C78" s="513">
        <v>76440</v>
      </c>
      <c r="D78" s="509">
        <v>0.42499999999999999</v>
      </c>
      <c r="E78" s="508">
        <v>1</v>
      </c>
      <c r="F78" s="572">
        <v>5</v>
      </c>
      <c r="G78" s="507">
        <f>F78/12</f>
        <v>0.41666666666666669</v>
      </c>
      <c r="H78" s="573">
        <f>ROUND(C78*(1+D78)*E78*G78,0)</f>
        <v>45386</v>
      </c>
      <c r="I78" s="574" t="s">
        <v>15</v>
      </c>
      <c r="J78" s="575" t="s">
        <v>16</v>
      </c>
      <c r="K78" s="544"/>
      <c r="L78" s="598"/>
    </row>
    <row r="79" spans="1:12" x14ac:dyDescent="0.2">
      <c r="A79" s="531" t="s">
        <v>17</v>
      </c>
      <c r="B79" s="564" t="s">
        <v>17</v>
      </c>
      <c r="C79" s="512">
        <v>81026</v>
      </c>
      <c r="D79" s="505">
        <v>0.42499999999999999</v>
      </c>
      <c r="E79" s="504">
        <v>1</v>
      </c>
      <c r="F79" s="561">
        <v>12</v>
      </c>
      <c r="G79" s="503">
        <f>F79/12</f>
        <v>1</v>
      </c>
      <c r="H79" s="562">
        <f>ROUND(C79*(1+D79)*E79*G79,0)</f>
        <v>115462</v>
      </c>
      <c r="I79" s="563" t="s">
        <v>15</v>
      </c>
      <c r="J79" s="559"/>
      <c r="K79" s="544"/>
      <c r="L79" s="598"/>
    </row>
    <row r="80" spans="1:12" x14ac:dyDescent="0.2">
      <c r="A80" s="531" t="s">
        <v>18</v>
      </c>
      <c r="B80" s="565" t="s">
        <v>18</v>
      </c>
      <c r="C80" s="512">
        <v>85888</v>
      </c>
      <c r="D80" s="505">
        <v>0.42499999999999999</v>
      </c>
      <c r="E80" s="504">
        <v>1</v>
      </c>
      <c r="F80" s="561">
        <v>12</v>
      </c>
      <c r="G80" s="503">
        <f>F80/12</f>
        <v>1</v>
      </c>
      <c r="H80" s="562">
        <f>ROUND(C80*(1+D80)*E80*G80,0)</f>
        <v>122390</v>
      </c>
      <c r="I80" s="563" t="s">
        <v>15</v>
      </c>
      <c r="J80" s="559"/>
      <c r="K80" s="544"/>
      <c r="L80" s="598"/>
    </row>
    <row r="81" spans="1:12" x14ac:dyDescent="0.2">
      <c r="A81" s="531" t="s">
        <v>19</v>
      </c>
      <c r="B81" s="565" t="s">
        <v>19</v>
      </c>
      <c r="C81" s="512">
        <v>91041</v>
      </c>
      <c r="D81" s="505">
        <v>0.42499999999999999</v>
      </c>
      <c r="E81" s="504">
        <v>1</v>
      </c>
      <c r="F81" s="561">
        <v>7</v>
      </c>
      <c r="G81" s="503">
        <f>F81/12</f>
        <v>0.58333333333333337</v>
      </c>
      <c r="H81" s="562">
        <f>ROUND(C81*(1+D81)*E81*G81,0)</f>
        <v>75678</v>
      </c>
      <c r="I81" s="563" t="s">
        <v>15</v>
      </c>
      <c r="J81" s="559"/>
      <c r="K81" s="544"/>
      <c r="L81" s="598"/>
    </row>
    <row r="82" spans="1:12" x14ac:dyDescent="0.2">
      <c r="A82" s="531" t="s">
        <v>20</v>
      </c>
      <c r="B82" s="566" t="s">
        <v>20</v>
      </c>
      <c r="C82" s="511">
        <v>96504</v>
      </c>
      <c r="D82" s="501">
        <v>0.42499999999999999</v>
      </c>
      <c r="E82" s="500">
        <v>1</v>
      </c>
      <c r="F82" s="567">
        <v>0</v>
      </c>
      <c r="G82" s="499">
        <f>F82/12</f>
        <v>0</v>
      </c>
      <c r="H82" s="568">
        <f>ROUND(C82*(1+D82)*E82*G82,0)</f>
        <v>0</v>
      </c>
      <c r="I82" s="569" t="s">
        <v>15</v>
      </c>
      <c r="J82" s="570"/>
      <c r="K82" s="544"/>
      <c r="L82" s="598"/>
    </row>
    <row r="83" spans="1:12" ht="27.75" customHeight="1" x14ac:dyDescent="0.2">
      <c r="B83" s="1112" t="s">
        <v>42</v>
      </c>
      <c r="C83" s="1113"/>
      <c r="D83" s="1113"/>
      <c r="E83" s="1113"/>
      <c r="F83" s="1113"/>
      <c r="G83" s="1113"/>
      <c r="H83" s="1113"/>
      <c r="I83" s="1113"/>
      <c r="J83" s="1114"/>
      <c r="K83" s="588"/>
    </row>
    <row r="84" spans="1:12" ht="24" x14ac:dyDescent="0.2">
      <c r="A84" s="531" t="s">
        <v>13</v>
      </c>
      <c r="B84" s="566" t="s">
        <v>45</v>
      </c>
      <c r="C84" s="513">
        <v>86923.199999999997</v>
      </c>
      <c r="D84" s="509">
        <v>0.42499999999999999</v>
      </c>
      <c r="E84" s="508">
        <v>1</v>
      </c>
      <c r="F84" s="572">
        <v>5</v>
      </c>
      <c r="G84" s="507">
        <f>F84/12</f>
        <v>0.41666666666666669</v>
      </c>
      <c r="H84" s="573">
        <f>ROUND(C84*(1+D84)*E84*G84,0)</f>
        <v>51611</v>
      </c>
      <c r="I84" s="574" t="s">
        <v>15</v>
      </c>
      <c r="J84" s="575" t="s">
        <v>16</v>
      </c>
      <c r="K84" s="544"/>
      <c r="L84" s="598"/>
    </row>
    <row r="85" spans="1:12" x14ac:dyDescent="0.2">
      <c r="A85" s="531" t="s">
        <v>17</v>
      </c>
      <c r="B85" s="564" t="s">
        <v>17</v>
      </c>
      <c r="C85" s="512">
        <v>92139</v>
      </c>
      <c r="D85" s="505">
        <v>0.42499999999999999</v>
      </c>
      <c r="E85" s="504">
        <v>1</v>
      </c>
      <c r="F85" s="561">
        <v>12</v>
      </c>
      <c r="G85" s="503">
        <f>F85/12</f>
        <v>1</v>
      </c>
      <c r="H85" s="562">
        <f>ROUND(C85*(1+D85)*E85*G85,0)</f>
        <v>131298</v>
      </c>
      <c r="I85" s="563" t="s">
        <v>15</v>
      </c>
      <c r="J85" s="559"/>
      <c r="K85" s="544"/>
      <c r="L85" s="598"/>
    </row>
    <row r="86" spans="1:12" x14ac:dyDescent="0.2">
      <c r="A86" s="531" t="s">
        <v>18</v>
      </c>
      <c r="B86" s="565" t="s">
        <v>18</v>
      </c>
      <c r="C86" s="512">
        <v>97667</v>
      </c>
      <c r="D86" s="505">
        <v>0.42499999999999999</v>
      </c>
      <c r="E86" s="504">
        <v>1</v>
      </c>
      <c r="F86" s="561">
        <v>12</v>
      </c>
      <c r="G86" s="503">
        <f>F86/12</f>
        <v>1</v>
      </c>
      <c r="H86" s="562">
        <f>ROUND(C86*(1+D86)*E86*G86,0)</f>
        <v>139175</v>
      </c>
      <c r="I86" s="563" t="s">
        <v>15</v>
      </c>
      <c r="J86" s="559"/>
      <c r="K86" s="544"/>
      <c r="L86" s="598"/>
    </row>
    <row r="87" spans="1:12" x14ac:dyDescent="0.2">
      <c r="A87" s="531" t="s">
        <v>19</v>
      </c>
      <c r="B87" s="565" t="s">
        <v>19</v>
      </c>
      <c r="C87" s="512">
        <v>103527</v>
      </c>
      <c r="D87" s="505">
        <v>0.42499999999999999</v>
      </c>
      <c r="E87" s="504">
        <v>1</v>
      </c>
      <c r="F87" s="561">
        <v>10</v>
      </c>
      <c r="G87" s="503">
        <f>F87/12</f>
        <v>0.83333333333333337</v>
      </c>
      <c r="H87" s="562">
        <f>ROUND(C87*(1+D87)*E87*G87,0)</f>
        <v>122938</v>
      </c>
      <c r="I87" s="563" t="s">
        <v>15</v>
      </c>
      <c r="J87" s="559"/>
      <c r="K87" s="544"/>
      <c r="L87" s="598"/>
    </row>
    <row r="88" spans="1:12" x14ac:dyDescent="0.2">
      <c r="A88" s="531" t="s">
        <v>20</v>
      </c>
      <c r="B88" s="566" t="s">
        <v>20</v>
      </c>
      <c r="C88" s="511">
        <v>109739</v>
      </c>
      <c r="D88" s="501">
        <v>0.42499999999999999</v>
      </c>
      <c r="E88" s="500">
        <v>1</v>
      </c>
      <c r="F88" s="567">
        <v>0</v>
      </c>
      <c r="G88" s="499">
        <f>F88/12</f>
        <v>0</v>
      </c>
      <c r="H88" s="568">
        <f>ROUND(C88*(1+D88)*E88*G88,0)</f>
        <v>0</v>
      </c>
      <c r="I88" s="569" t="s">
        <v>15</v>
      </c>
      <c r="J88" s="570"/>
      <c r="K88" s="544"/>
      <c r="L88" s="598"/>
    </row>
    <row r="89" spans="1:12" ht="38.25" customHeight="1" x14ac:dyDescent="0.2">
      <c r="B89" s="1112" t="s">
        <v>46</v>
      </c>
      <c r="C89" s="1113"/>
      <c r="D89" s="1113"/>
      <c r="E89" s="1113"/>
      <c r="F89" s="1113"/>
      <c r="G89" s="1113"/>
      <c r="H89" s="1113"/>
      <c r="I89" s="1113"/>
      <c r="J89" s="1114"/>
      <c r="K89" s="588"/>
    </row>
    <row r="90" spans="1:12" ht="24" x14ac:dyDescent="0.2">
      <c r="A90" s="531" t="s">
        <v>13</v>
      </c>
      <c r="B90" s="566" t="s">
        <v>47</v>
      </c>
      <c r="C90" s="513">
        <v>67350</v>
      </c>
      <c r="D90" s="509">
        <v>0.42499999999999999</v>
      </c>
      <c r="E90" s="508">
        <v>1</v>
      </c>
      <c r="F90" s="572">
        <v>5</v>
      </c>
      <c r="G90" s="507">
        <f>F90/12</f>
        <v>0.41666666666666669</v>
      </c>
      <c r="H90" s="573">
        <f>ROUND(C90*(1+D90)*E90*G90,0)</f>
        <v>39989</v>
      </c>
      <c r="I90" s="574" t="s">
        <v>15</v>
      </c>
      <c r="J90" s="575" t="s">
        <v>16</v>
      </c>
      <c r="K90" s="546"/>
      <c r="L90" s="598"/>
    </row>
    <row r="91" spans="1:12" x14ac:dyDescent="0.2">
      <c r="A91" s="531" t="s">
        <v>17</v>
      </c>
      <c r="B91" s="564" t="s">
        <v>17</v>
      </c>
      <c r="C91" s="512">
        <v>71391.42</v>
      </c>
      <c r="D91" s="505">
        <v>0.42499999999999999</v>
      </c>
      <c r="E91" s="504">
        <v>1</v>
      </c>
      <c r="F91" s="561">
        <v>12</v>
      </c>
      <c r="G91" s="503">
        <f>F91/12</f>
        <v>1</v>
      </c>
      <c r="H91" s="562">
        <f>ROUND(C91*(1+D91)*E91*G91,0)</f>
        <v>101733</v>
      </c>
      <c r="I91" s="563" t="s">
        <v>15</v>
      </c>
      <c r="J91" s="559"/>
      <c r="K91" s="546"/>
      <c r="L91" s="598"/>
    </row>
    <row r="92" spans="1:12" x14ac:dyDescent="0.2">
      <c r="A92" s="531" t="s">
        <v>18</v>
      </c>
      <c r="B92" s="565" t="s">
        <v>18</v>
      </c>
      <c r="C92" s="512">
        <v>75674.91</v>
      </c>
      <c r="D92" s="505">
        <v>0.42499999999999999</v>
      </c>
      <c r="E92" s="504">
        <v>1</v>
      </c>
      <c r="F92" s="561">
        <v>12</v>
      </c>
      <c r="G92" s="503">
        <f>F92/12</f>
        <v>1</v>
      </c>
      <c r="H92" s="562">
        <f>ROUND(C92*(1+D92)*E92*G92,0)</f>
        <v>107837</v>
      </c>
      <c r="I92" s="563" t="s">
        <v>15</v>
      </c>
      <c r="J92" s="559"/>
      <c r="K92" s="546"/>
      <c r="L92" s="598"/>
    </row>
    <row r="93" spans="1:12" x14ac:dyDescent="0.2">
      <c r="A93" s="531" t="s">
        <v>19</v>
      </c>
      <c r="B93" s="565" t="s">
        <v>19</v>
      </c>
      <c r="C93" s="512">
        <v>80215.399999999994</v>
      </c>
      <c r="D93" s="505">
        <v>0.42499999999999999</v>
      </c>
      <c r="E93" s="504">
        <v>1</v>
      </c>
      <c r="F93" s="561">
        <v>10</v>
      </c>
      <c r="G93" s="503">
        <f>F93/12</f>
        <v>0.83333333333333337</v>
      </c>
      <c r="H93" s="562">
        <f>ROUND(C93*(1+D93)*E93*G93,0)</f>
        <v>95256</v>
      </c>
      <c r="I93" s="563" t="s">
        <v>15</v>
      </c>
      <c r="J93" s="559"/>
      <c r="K93" s="546"/>
      <c r="L93" s="598"/>
    </row>
    <row r="94" spans="1:12" x14ac:dyDescent="0.2">
      <c r="A94" s="531" t="s">
        <v>20</v>
      </c>
      <c r="B94" s="566" t="s">
        <v>20</v>
      </c>
      <c r="C94" s="511">
        <v>85028.33</v>
      </c>
      <c r="D94" s="501">
        <v>0.42499999999999999</v>
      </c>
      <c r="E94" s="500">
        <v>1</v>
      </c>
      <c r="F94" s="567">
        <v>0</v>
      </c>
      <c r="G94" s="499">
        <f>F94/12</f>
        <v>0</v>
      </c>
      <c r="H94" s="568">
        <f>ROUND(C94*(1+D94)*E94*G94,0)</f>
        <v>0</v>
      </c>
      <c r="I94" s="569" t="s">
        <v>15</v>
      </c>
      <c r="J94" s="570"/>
      <c r="K94" s="546"/>
      <c r="L94" s="598"/>
    </row>
    <row r="95" spans="1:12" ht="38.25" customHeight="1" x14ac:dyDescent="0.2">
      <c r="B95" s="1112" t="s">
        <v>46</v>
      </c>
      <c r="C95" s="1113"/>
      <c r="D95" s="1113"/>
      <c r="E95" s="1113"/>
      <c r="F95" s="1113"/>
      <c r="G95" s="1113"/>
      <c r="H95" s="1113"/>
      <c r="I95" s="1113"/>
      <c r="J95" s="1114"/>
      <c r="K95" s="588"/>
    </row>
    <row r="96" spans="1:12" ht="36" x14ac:dyDescent="0.2">
      <c r="A96" s="531" t="s">
        <v>13</v>
      </c>
      <c r="B96" s="566" t="s">
        <v>48</v>
      </c>
      <c r="C96" s="513">
        <v>72654</v>
      </c>
      <c r="D96" s="509">
        <v>0.42499999999999999</v>
      </c>
      <c r="E96" s="508">
        <v>1</v>
      </c>
      <c r="F96" s="572">
        <v>5</v>
      </c>
      <c r="G96" s="507">
        <f>F96/12</f>
        <v>0.41666666666666669</v>
      </c>
      <c r="H96" s="573">
        <f>ROUND(C96*(1+D96)*E96*G96,0)</f>
        <v>43138</v>
      </c>
      <c r="I96" s="574" t="s">
        <v>15</v>
      </c>
      <c r="J96" s="575" t="s">
        <v>16</v>
      </c>
      <c r="K96" s="546"/>
      <c r="L96" s="598"/>
    </row>
    <row r="97" spans="1:12" x14ac:dyDescent="0.2">
      <c r="A97" s="531" t="s">
        <v>17</v>
      </c>
      <c r="B97" s="564" t="s">
        <v>17</v>
      </c>
      <c r="C97" s="512">
        <v>77014</v>
      </c>
      <c r="D97" s="505">
        <v>0.42499999999999999</v>
      </c>
      <c r="E97" s="504">
        <v>1</v>
      </c>
      <c r="F97" s="561">
        <v>12</v>
      </c>
      <c r="G97" s="503">
        <f>F97/12</f>
        <v>1</v>
      </c>
      <c r="H97" s="562">
        <f>ROUND(C97*(1+D97)*E97*G97,0)</f>
        <v>109745</v>
      </c>
      <c r="I97" s="563" t="s">
        <v>15</v>
      </c>
      <c r="J97" s="559"/>
      <c r="K97" s="546"/>
      <c r="L97" s="598"/>
    </row>
    <row r="98" spans="1:12" x14ac:dyDescent="0.2">
      <c r="A98" s="531" t="s">
        <v>18</v>
      </c>
      <c r="B98" s="565" t="s">
        <v>18</v>
      </c>
      <c r="C98" s="512">
        <v>81634</v>
      </c>
      <c r="D98" s="505">
        <v>0.42499999999999999</v>
      </c>
      <c r="E98" s="504">
        <v>1</v>
      </c>
      <c r="F98" s="561">
        <v>12</v>
      </c>
      <c r="G98" s="503">
        <f>F98/12</f>
        <v>1</v>
      </c>
      <c r="H98" s="562">
        <f>ROUND(C98*(1+D98)*E98*G98,0)</f>
        <v>116328</v>
      </c>
      <c r="I98" s="563" t="s">
        <v>15</v>
      </c>
      <c r="J98" s="559"/>
      <c r="K98" s="546"/>
      <c r="L98" s="598"/>
    </row>
    <row r="99" spans="1:12" x14ac:dyDescent="0.2">
      <c r="A99" s="531" t="s">
        <v>19</v>
      </c>
      <c r="B99" s="565" t="s">
        <v>19</v>
      </c>
      <c r="C99" s="512">
        <v>86533</v>
      </c>
      <c r="D99" s="505">
        <v>0.42499999999999999</v>
      </c>
      <c r="E99" s="504">
        <v>1</v>
      </c>
      <c r="F99" s="561">
        <v>12</v>
      </c>
      <c r="G99" s="503">
        <f>F99/12</f>
        <v>1</v>
      </c>
      <c r="H99" s="562">
        <f>ROUND(C99*(1+D99)*E99*G99,0)</f>
        <v>123310</v>
      </c>
      <c r="I99" s="563" t="s">
        <v>15</v>
      </c>
      <c r="J99" s="559"/>
      <c r="K99" s="546"/>
      <c r="L99" s="598"/>
    </row>
    <row r="100" spans="1:12" x14ac:dyDescent="0.2">
      <c r="A100" s="531" t="s">
        <v>20</v>
      </c>
      <c r="B100" s="566" t="s">
        <v>20</v>
      </c>
      <c r="C100" s="511">
        <v>91725</v>
      </c>
      <c r="D100" s="501">
        <v>0.42499999999999999</v>
      </c>
      <c r="E100" s="500">
        <v>1</v>
      </c>
      <c r="F100" s="567">
        <v>0</v>
      </c>
      <c r="G100" s="499">
        <f>F100/12</f>
        <v>0</v>
      </c>
      <c r="H100" s="568">
        <f>ROUND(C100*(1+D100)*E100*G100,0)</f>
        <v>0</v>
      </c>
      <c r="I100" s="569" t="s">
        <v>15</v>
      </c>
      <c r="J100" s="570"/>
      <c r="K100" s="546"/>
      <c r="L100" s="598"/>
    </row>
    <row r="101" spans="1:12" ht="33" customHeight="1" x14ac:dyDescent="0.2">
      <c r="B101" s="1112" t="s">
        <v>49</v>
      </c>
      <c r="C101" s="1113"/>
      <c r="D101" s="1113"/>
      <c r="E101" s="1113"/>
      <c r="F101" s="1113"/>
      <c r="G101" s="1113"/>
      <c r="H101" s="1113"/>
      <c r="I101" s="1113"/>
      <c r="J101" s="1114"/>
      <c r="K101" s="588"/>
    </row>
    <row r="102" spans="1:12" ht="24" x14ac:dyDescent="0.2">
      <c r="A102" s="531" t="s">
        <v>13</v>
      </c>
      <c r="B102" s="566" t="s">
        <v>50</v>
      </c>
      <c r="C102" s="513">
        <v>41330</v>
      </c>
      <c r="D102" s="509">
        <v>0.42499999999999999</v>
      </c>
      <c r="E102" s="508">
        <v>1</v>
      </c>
      <c r="F102" s="572">
        <v>0</v>
      </c>
      <c r="G102" s="507">
        <f>F102/12</f>
        <v>0</v>
      </c>
      <c r="H102" s="573">
        <f>ROUND(C102*(1+D102)*E102*G102,0)</f>
        <v>0</v>
      </c>
      <c r="I102" s="574" t="s">
        <v>26</v>
      </c>
      <c r="J102" s="575" t="s">
        <v>23</v>
      </c>
      <c r="K102" s="576"/>
    </row>
    <row r="103" spans="1:12" x14ac:dyDescent="0.2">
      <c r="A103" s="531" t="s">
        <v>17</v>
      </c>
      <c r="B103" s="564" t="s">
        <v>17</v>
      </c>
      <c r="C103" s="512">
        <v>43809</v>
      </c>
      <c r="D103" s="505">
        <v>0.42499999999999999</v>
      </c>
      <c r="E103" s="504">
        <v>1</v>
      </c>
      <c r="F103" s="561">
        <v>12</v>
      </c>
      <c r="G103" s="503">
        <f>F103/12</f>
        <v>1</v>
      </c>
      <c r="H103" s="562">
        <f>ROUND(C103*(1+D103)*E103*G103,0)</f>
        <v>62428</v>
      </c>
      <c r="I103" s="563" t="s">
        <v>26</v>
      </c>
      <c r="J103" s="559"/>
      <c r="K103" s="576"/>
    </row>
    <row r="104" spans="1:12" x14ac:dyDescent="0.2">
      <c r="A104" s="531" t="s">
        <v>18</v>
      </c>
      <c r="B104" s="565" t="s">
        <v>18</v>
      </c>
      <c r="C104" s="512">
        <v>46438</v>
      </c>
      <c r="D104" s="505">
        <v>0.42499999999999999</v>
      </c>
      <c r="E104" s="504">
        <v>1</v>
      </c>
      <c r="F104" s="561">
        <v>12</v>
      </c>
      <c r="G104" s="503">
        <f>F104/12</f>
        <v>1</v>
      </c>
      <c r="H104" s="562">
        <f>ROUND(C104*(1+D104)*E104*G104,0)</f>
        <v>66174</v>
      </c>
      <c r="I104" s="563" t="s">
        <v>26</v>
      </c>
      <c r="J104" s="559"/>
      <c r="K104" s="576"/>
    </row>
    <row r="105" spans="1:12" x14ac:dyDescent="0.2">
      <c r="A105" s="531" t="s">
        <v>19</v>
      </c>
      <c r="B105" s="565" t="s">
        <v>19</v>
      </c>
      <c r="C105" s="512">
        <v>49224</v>
      </c>
      <c r="D105" s="505">
        <v>0.42499999999999999</v>
      </c>
      <c r="E105" s="504">
        <v>1</v>
      </c>
      <c r="F105" s="561">
        <v>12</v>
      </c>
      <c r="G105" s="503">
        <f>F105/12</f>
        <v>1</v>
      </c>
      <c r="H105" s="562">
        <f>ROUND(C105*(1+D105)*E105*G105,0)</f>
        <v>70144</v>
      </c>
      <c r="I105" s="563" t="s">
        <v>26</v>
      </c>
      <c r="J105" s="559"/>
      <c r="K105" s="576"/>
    </row>
    <row r="106" spans="1:12" x14ac:dyDescent="0.2">
      <c r="A106" s="531" t="s">
        <v>20</v>
      </c>
      <c r="B106" s="566" t="s">
        <v>20</v>
      </c>
      <c r="C106" s="511">
        <v>53178</v>
      </c>
      <c r="D106" s="501">
        <v>0.42499999999999999</v>
      </c>
      <c r="E106" s="500">
        <v>1</v>
      </c>
      <c r="F106" s="567">
        <v>12</v>
      </c>
      <c r="G106" s="499">
        <f>F106/12</f>
        <v>1</v>
      </c>
      <c r="H106" s="568">
        <f>ROUND(C106*(1+D106)*E106*G106,0)</f>
        <v>75779</v>
      </c>
      <c r="I106" s="569" t="s">
        <v>26</v>
      </c>
      <c r="J106" s="570"/>
      <c r="K106" s="576"/>
    </row>
    <row r="107" spans="1:12" ht="61.5" customHeight="1" x14ac:dyDescent="0.2">
      <c r="B107" s="1112" t="s">
        <v>51</v>
      </c>
      <c r="C107" s="1113"/>
      <c r="D107" s="1113"/>
      <c r="E107" s="1113"/>
      <c r="F107" s="1113"/>
      <c r="G107" s="1113"/>
      <c r="H107" s="1113"/>
      <c r="I107" s="1113"/>
      <c r="J107" s="1114"/>
      <c r="K107" s="577"/>
    </row>
    <row r="108" spans="1:12" ht="24" x14ac:dyDescent="0.2">
      <c r="A108" s="531" t="s">
        <v>13</v>
      </c>
      <c r="B108" s="566" t="s">
        <v>52</v>
      </c>
      <c r="C108" s="513">
        <v>106725</v>
      </c>
      <c r="D108" s="509">
        <v>0.42499999999999999</v>
      </c>
      <c r="E108" s="508">
        <v>1</v>
      </c>
      <c r="F108" s="572">
        <v>0</v>
      </c>
      <c r="G108" s="507">
        <f>F108/12</f>
        <v>0</v>
      </c>
      <c r="H108" s="573">
        <f>ROUND(C108*(1+D108)*E108*G108,0)</f>
        <v>0</v>
      </c>
      <c r="I108" s="574" t="s">
        <v>26</v>
      </c>
      <c r="J108" s="575" t="s">
        <v>16</v>
      </c>
      <c r="K108" s="581"/>
    </row>
    <row r="109" spans="1:12" x14ac:dyDescent="0.2">
      <c r="A109" s="531" t="s">
        <v>17</v>
      </c>
      <c r="B109" s="564" t="s">
        <v>17</v>
      </c>
      <c r="C109" s="512">
        <v>113128</v>
      </c>
      <c r="D109" s="505">
        <v>0.42499999999999999</v>
      </c>
      <c r="E109" s="504">
        <v>1</v>
      </c>
      <c r="F109" s="561">
        <v>6</v>
      </c>
      <c r="G109" s="503">
        <f>F109/12</f>
        <v>0.5</v>
      </c>
      <c r="H109" s="562">
        <f>ROUND(C109*(1+D109)*E109*G109,0)</f>
        <v>80604</v>
      </c>
      <c r="I109" s="563" t="s">
        <v>26</v>
      </c>
      <c r="J109" s="559"/>
      <c r="K109" s="581"/>
    </row>
    <row r="110" spans="1:12" x14ac:dyDescent="0.2">
      <c r="A110" s="531" t="s">
        <v>18</v>
      </c>
      <c r="B110" s="565" t="s">
        <v>18</v>
      </c>
      <c r="C110" s="512">
        <v>113128</v>
      </c>
      <c r="D110" s="505">
        <v>0.42499999999999999</v>
      </c>
      <c r="E110" s="504">
        <v>1</v>
      </c>
      <c r="F110" s="561">
        <v>12</v>
      </c>
      <c r="G110" s="503">
        <f>F110/12</f>
        <v>1</v>
      </c>
      <c r="H110" s="562">
        <f>ROUND(C110*(1+D110)*E110*G110,0)</f>
        <v>161207</v>
      </c>
      <c r="I110" s="563" t="s">
        <v>26</v>
      </c>
      <c r="J110" s="559"/>
      <c r="K110" s="581"/>
    </row>
    <row r="111" spans="1:12" x14ac:dyDescent="0.2">
      <c r="A111" s="531" t="s">
        <v>19</v>
      </c>
      <c r="B111" s="565" t="s">
        <v>19</v>
      </c>
      <c r="C111" s="512">
        <v>119916</v>
      </c>
      <c r="D111" s="505">
        <v>0.42499999999999999</v>
      </c>
      <c r="E111" s="504">
        <v>1</v>
      </c>
      <c r="F111" s="561">
        <v>12</v>
      </c>
      <c r="G111" s="503">
        <f>F111/12</f>
        <v>1</v>
      </c>
      <c r="H111" s="562">
        <f>ROUND(C111*(1+D111)*E111*G111,0)</f>
        <v>170880</v>
      </c>
      <c r="I111" s="563" t="s">
        <v>26</v>
      </c>
      <c r="J111" s="559"/>
      <c r="K111" s="581"/>
    </row>
    <row r="112" spans="1:12" x14ac:dyDescent="0.2">
      <c r="A112" s="531" t="s">
        <v>20</v>
      </c>
      <c r="B112" s="566" t="s">
        <v>20</v>
      </c>
      <c r="C112" s="511">
        <v>127111</v>
      </c>
      <c r="D112" s="501">
        <v>0.42499999999999999</v>
      </c>
      <c r="E112" s="500">
        <v>1</v>
      </c>
      <c r="F112" s="567">
        <v>12</v>
      </c>
      <c r="G112" s="499">
        <f>F112/12</f>
        <v>1</v>
      </c>
      <c r="H112" s="568">
        <f>ROUND(C112*(1+D112)*E112*G112,0)</f>
        <v>181133</v>
      </c>
      <c r="I112" s="569" t="s">
        <v>26</v>
      </c>
      <c r="J112" s="570"/>
      <c r="K112" s="581"/>
    </row>
    <row r="113" spans="1:12" ht="36.75" customHeight="1" x14ac:dyDescent="0.2">
      <c r="B113" s="1112" t="s">
        <v>53</v>
      </c>
      <c r="C113" s="1113"/>
      <c r="D113" s="1113"/>
      <c r="E113" s="1113"/>
      <c r="F113" s="1113"/>
      <c r="G113" s="1113"/>
      <c r="H113" s="1113"/>
      <c r="I113" s="1113"/>
      <c r="J113" s="1114"/>
      <c r="K113" s="588"/>
    </row>
    <row r="114" spans="1:12" ht="24" x14ac:dyDescent="0.2">
      <c r="A114" s="531" t="s">
        <v>13</v>
      </c>
      <c r="B114" s="566" t="s">
        <v>54</v>
      </c>
      <c r="C114" s="513">
        <v>57761.599999999999</v>
      </c>
      <c r="D114" s="509">
        <v>0.42499999999999999</v>
      </c>
      <c r="E114" s="508">
        <v>1</v>
      </c>
      <c r="F114" s="572">
        <v>0</v>
      </c>
      <c r="G114" s="507">
        <f>F114/12</f>
        <v>0</v>
      </c>
      <c r="H114" s="573">
        <f>ROUND(C114*(1+D114)*E114*G114,0)</f>
        <v>0</v>
      </c>
      <c r="I114" s="574" t="s">
        <v>26</v>
      </c>
      <c r="J114" s="575" t="s">
        <v>16</v>
      </c>
      <c r="L114" s="598"/>
    </row>
    <row r="115" spans="1:12" x14ac:dyDescent="0.2">
      <c r="A115" s="531" t="s">
        <v>17</v>
      </c>
      <c r="B115" s="564" t="s">
        <v>17</v>
      </c>
      <c r="C115" s="512">
        <v>61227.3</v>
      </c>
      <c r="D115" s="505">
        <v>0.42499999999999999</v>
      </c>
      <c r="E115" s="504">
        <v>1</v>
      </c>
      <c r="F115" s="561">
        <v>6</v>
      </c>
      <c r="G115" s="503">
        <f>F115/12</f>
        <v>0.5</v>
      </c>
      <c r="H115" s="562">
        <f>ROUND(C115*(1+D115)*E115*G115,0)</f>
        <v>43624</v>
      </c>
      <c r="I115" s="563" t="s">
        <v>26</v>
      </c>
      <c r="J115" s="559"/>
      <c r="L115" s="598"/>
    </row>
    <row r="116" spans="1:12" x14ac:dyDescent="0.2">
      <c r="A116" s="531" t="s">
        <v>18</v>
      </c>
      <c r="B116" s="565" t="s">
        <v>18</v>
      </c>
      <c r="C116" s="512">
        <v>61227.3</v>
      </c>
      <c r="D116" s="505">
        <v>0.42499999999999999</v>
      </c>
      <c r="E116" s="504">
        <v>1</v>
      </c>
      <c r="F116" s="561">
        <v>12</v>
      </c>
      <c r="G116" s="503">
        <f>F116/12</f>
        <v>1</v>
      </c>
      <c r="H116" s="562">
        <f>ROUND(C116*(1+D116)*E116*G116,0)</f>
        <v>87249</v>
      </c>
      <c r="I116" s="563" t="s">
        <v>26</v>
      </c>
      <c r="J116" s="559"/>
      <c r="L116" s="598"/>
    </row>
    <row r="117" spans="1:12" x14ac:dyDescent="0.2">
      <c r="A117" s="531" t="s">
        <v>19</v>
      </c>
      <c r="B117" s="565" t="s">
        <v>19</v>
      </c>
      <c r="C117" s="512">
        <v>64900.93</v>
      </c>
      <c r="D117" s="505">
        <v>0.42499999999999999</v>
      </c>
      <c r="E117" s="504">
        <v>1</v>
      </c>
      <c r="F117" s="561">
        <v>12</v>
      </c>
      <c r="G117" s="503">
        <f>F117/12</f>
        <v>1</v>
      </c>
      <c r="H117" s="562">
        <f>ROUND(C117*(1+D117)*E117*G117,0)</f>
        <v>92484</v>
      </c>
      <c r="I117" s="563" t="s">
        <v>26</v>
      </c>
      <c r="J117" s="559"/>
      <c r="L117" s="598"/>
    </row>
    <row r="118" spans="1:12" x14ac:dyDescent="0.2">
      <c r="A118" s="531" t="s">
        <v>20</v>
      </c>
      <c r="B118" s="566" t="s">
        <v>20</v>
      </c>
      <c r="C118" s="511">
        <v>68794.990000000005</v>
      </c>
      <c r="D118" s="501">
        <v>0.42499999999999999</v>
      </c>
      <c r="E118" s="500">
        <v>1</v>
      </c>
      <c r="F118" s="567">
        <v>12</v>
      </c>
      <c r="G118" s="499">
        <f>F118/12</f>
        <v>1</v>
      </c>
      <c r="H118" s="568">
        <f>ROUND(C118*(1+D118)*E118*G118,0)</f>
        <v>98033</v>
      </c>
      <c r="I118" s="569" t="s">
        <v>26</v>
      </c>
      <c r="J118" s="570"/>
      <c r="L118" s="598"/>
    </row>
    <row r="119" spans="1:12" ht="27.75" customHeight="1" x14ac:dyDescent="0.2">
      <c r="B119" s="1112" t="s">
        <v>55</v>
      </c>
      <c r="C119" s="1113"/>
      <c r="D119" s="1113"/>
      <c r="E119" s="1113"/>
      <c r="F119" s="1113"/>
      <c r="G119" s="1113"/>
      <c r="H119" s="1113"/>
      <c r="I119" s="1113"/>
      <c r="J119" s="1114"/>
      <c r="K119" s="588"/>
    </row>
    <row r="120" spans="1:12" ht="24" x14ac:dyDescent="0.2">
      <c r="A120" s="531" t="s">
        <v>13</v>
      </c>
      <c r="B120" s="566" t="s">
        <v>56</v>
      </c>
      <c r="C120" s="513">
        <v>57761.599999999999</v>
      </c>
      <c r="D120" s="509">
        <v>0.42499999999999999</v>
      </c>
      <c r="E120" s="508">
        <v>1</v>
      </c>
      <c r="F120" s="572">
        <v>0</v>
      </c>
      <c r="G120" s="507">
        <f>F120/12</f>
        <v>0</v>
      </c>
      <c r="H120" s="573">
        <f>ROUND(C120*(1+D120)*E120*G120,0)</f>
        <v>0</v>
      </c>
      <c r="I120" s="574" t="s">
        <v>26</v>
      </c>
      <c r="J120" s="575" t="s">
        <v>16</v>
      </c>
      <c r="L120" s="598"/>
    </row>
    <row r="121" spans="1:12" x14ac:dyDescent="0.2">
      <c r="A121" s="531" t="s">
        <v>17</v>
      </c>
      <c r="B121" s="564" t="s">
        <v>17</v>
      </c>
      <c r="C121" s="512">
        <v>61227.3</v>
      </c>
      <c r="D121" s="505">
        <v>0.42499999999999999</v>
      </c>
      <c r="E121" s="504">
        <v>1</v>
      </c>
      <c r="F121" s="561">
        <v>6</v>
      </c>
      <c r="G121" s="503">
        <f>F121/12</f>
        <v>0.5</v>
      </c>
      <c r="H121" s="562">
        <f>ROUND(C121*(1+D121)*E121*G121,0)</f>
        <v>43624</v>
      </c>
      <c r="I121" s="563" t="s">
        <v>26</v>
      </c>
      <c r="J121" s="559"/>
      <c r="L121" s="598"/>
    </row>
    <row r="122" spans="1:12" x14ac:dyDescent="0.2">
      <c r="A122" s="531" t="s">
        <v>18</v>
      </c>
      <c r="B122" s="565" t="s">
        <v>18</v>
      </c>
      <c r="C122" s="512">
        <v>61227.3</v>
      </c>
      <c r="D122" s="505">
        <v>0.42499999999999999</v>
      </c>
      <c r="E122" s="504">
        <v>1</v>
      </c>
      <c r="F122" s="561">
        <v>12</v>
      </c>
      <c r="G122" s="503">
        <f>F122/12</f>
        <v>1</v>
      </c>
      <c r="H122" s="562">
        <f>ROUND(C122*(1+D122)*E122*G122,0)</f>
        <v>87249</v>
      </c>
      <c r="I122" s="563" t="s">
        <v>26</v>
      </c>
      <c r="J122" s="559"/>
      <c r="L122" s="598"/>
    </row>
    <row r="123" spans="1:12" x14ac:dyDescent="0.2">
      <c r="A123" s="531" t="s">
        <v>19</v>
      </c>
      <c r="B123" s="565" t="s">
        <v>19</v>
      </c>
      <c r="C123" s="512">
        <v>64900.93</v>
      </c>
      <c r="D123" s="505">
        <v>0.42499999999999999</v>
      </c>
      <c r="E123" s="504">
        <v>1</v>
      </c>
      <c r="F123" s="561">
        <v>12</v>
      </c>
      <c r="G123" s="503">
        <f>F123/12</f>
        <v>1</v>
      </c>
      <c r="H123" s="562">
        <f>ROUND(C123*(1+D123)*E123*G123,0)</f>
        <v>92484</v>
      </c>
      <c r="I123" s="563" t="s">
        <v>26</v>
      </c>
      <c r="J123" s="559"/>
      <c r="L123" s="598"/>
    </row>
    <row r="124" spans="1:12" x14ac:dyDescent="0.2">
      <c r="A124" s="531" t="s">
        <v>20</v>
      </c>
      <c r="B124" s="566" t="s">
        <v>20</v>
      </c>
      <c r="C124" s="511">
        <v>68794.990000000005</v>
      </c>
      <c r="D124" s="501">
        <v>0.42499999999999999</v>
      </c>
      <c r="E124" s="500">
        <v>1</v>
      </c>
      <c r="F124" s="567">
        <v>12</v>
      </c>
      <c r="G124" s="499">
        <f>F124/12</f>
        <v>1</v>
      </c>
      <c r="H124" s="568">
        <f>ROUND(C124*(1+D124)*E124*G124,0)</f>
        <v>98033</v>
      </c>
      <c r="I124" s="569" t="s">
        <v>26</v>
      </c>
      <c r="J124" s="570"/>
      <c r="L124" s="598"/>
    </row>
    <row r="125" spans="1:12" ht="27.75" customHeight="1" x14ac:dyDescent="0.2">
      <c r="B125" s="1112" t="s">
        <v>57</v>
      </c>
      <c r="C125" s="1113"/>
      <c r="D125" s="1113"/>
      <c r="E125" s="1113"/>
      <c r="F125" s="1113"/>
      <c r="G125" s="1113"/>
      <c r="H125" s="1113"/>
      <c r="I125" s="1113"/>
      <c r="J125" s="1114"/>
      <c r="K125" s="588"/>
    </row>
    <row r="126" spans="1:12" ht="24" x14ac:dyDescent="0.2">
      <c r="A126" s="531" t="s">
        <v>13</v>
      </c>
      <c r="B126" s="566" t="s">
        <v>58</v>
      </c>
      <c r="C126" s="513">
        <v>57761.599999999999</v>
      </c>
      <c r="D126" s="509">
        <v>0.42499999999999999</v>
      </c>
      <c r="E126" s="508">
        <v>1</v>
      </c>
      <c r="F126" s="572">
        <v>0</v>
      </c>
      <c r="G126" s="507">
        <f>F126/12</f>
        <v>0</v>
      </c>
      <c r="H126" s="573">
        <f>ROUND(C126*(1+D126)*E126*G126,0)</f>
        <v>0</v>
      </c>
      <c r="I126" s="574" t="s">
        <v>26</v>
      </c>
      <c r="J126" s="575" t="s">
        <v>16</v>
      </c>
      <c r="L126" s="598"/>
    </row>
    <row r="127" spans="1:12" x14ac:dyDescent="0.2">
      <c r="A127" s="531" t="s">
        <v>17</v>
      </c>
      <c r="B127" s="564" t="s">
        <v>17</v>
      </c>
      <c r="C127" s="512">
        <v>61227.3</v>
      </c>
      <c r="D127" s="505">
        <v>0.42499999999999999</v>
      </c>
      <c r="E127" s="504">
        <v>1</v>
      </c>
      <c r="F127" s="561">
        <v>6</v>
      </c>
      <c r="G127" s="503">
        <f>F127/12</f>
        <v>0.5</v>
      </c>
      <c r="H127" s="562">
        <f>ROUND(C127*(1+D127)*E127*G127,0)</f>
        <v>43624</v>
      </c>
      <c r="I127" s="563" t="s">
        <v>26</v>
      </c>
      <c r="J127" s="559"/>
      <c r="L127" s="598"/>
    </row>
    <row r="128" spans="1:12" x14ac:dyDescent="0.2">
      <c r="A128" s="531" t="s">
        <v>18</v>
      </c>
      <c r="B128" s="565" t="s">
        <v>18</v>
      </c>
      <c r="C128" s="512">
        <v>61227.3</v>
      </c>
      <c r="D128" s="505">
        <v>0.42499999999999999</v>
      </c>
      <c r="E128" s="504">
        <v>1</v>
      </c>
      <c r="F128" s="561">
        <v>12</v>
      </c>
      <c r="G128" s="503">
        <f>F128/12</f>
        <v>1</v>
      </c>
      <c r="H128" s="562">
        <f>ROUND(C128*(1+D128)*E128*G128,0)</f>
        <v>87249</v>
      </c>
      <c r="I128" s="563" t="s">
        <v>26</v>
      </c>
      <c r="J128" s="559"/>
      <c r="L128" s="598"/>
    </row>
    <row r="129" spans="1:12" x14ac:dyDescent="0.2">
      <c r="A129" s="531" t="s">
        <v>19</v>
      </c>
      <c r="B129" s="565" t="s">
        <v>19</v>
      </c>
      <c r="C129" s="512">
        <v>64900.93</v>
      </c>
      <c r="D129" s="505">
        <v>0.42499999999999999</v>
      </c>
      <c r="E129" s="504">
        <v>1</v>
      </c>
      <c r="F129" s="561">
        <v>12</v>
      </c>
      <c r="G129" s="503">
        <f>F129/12</f>
        <v>1</v>
      </c>
      <c r="H129" s="562">
        <f>ROUND(C129*(1+D129)*E129*G129,0)</f>
        <v>92484</v>
      </c>
      <c r="I129" s="563" t="s">
        <v>26</v>
      </c>
      <c r="J129" s="559"/>
      <c r="L129" s="598"/>
    </row>
    <row r="130" spans="1:12" x14ac:dyDescent="0.2">
      <c r="A130" s="531" t="s">
        <v>20</v>
      </c>
      <c r="B130" s="566" t="s">
        <v>20</v>
      </c>
      <c r="C130" s="511">
        <v>68794.990000000005</v>
      </c>
      <c r="D130" s="501">
        <v>0.42499999999999999</v>
      </c>
      <c r="E130" s="500">
        <v>1</v>
      </c>
      <c r="F130" s="567">
        <v>12</v>
      </c>
      <c r="G130" s="499">
        <f>F130/12</f>
        <v>1</v>
      </c>
      <c r="H130" s="568">
        <f>ROUND(C130*(1+D130)*E130*G130,0)</f>
        <v>98033</v>
      </c>
      <c r="I130" s="569" t="s">
        <v>26</v>
      </c>
      <c r="J130" s="570"/>
      <c r="L130" s="598"/>
    </row>
    <row r="131" spans="1:12" ht="26.25" customHeight="1" x14ac:dyDescent="0.2">
      <c r="B131" s="1112" t="s">
        <v>57</v>
      </c>
      <c r="C131" s="1113"/>
      <c r="D131" s="1113"/>
      <c r="E131" s="1113"/>
      <c r="F131" s="1113"/>
      <c r="G131" s="1113"/>
      <c r="H131" s="1113"/>
      <c r="I131" s="1113"/>
      <c r="J131" s="1114"/>
      <c r="K131" s="588"/>
    </row>
    <row r="132" spans="1:12" ht="24" x14ac:dyDescent="0.2">
      <c r="A132" s="531" t="s">
        <v>13</v>
      </c>
      <c r="B132" s="566" t="s">
        <v>59</v>
      </c>
      <c r="C132" s="513">
        <v>79304</v>
      </c>
      <c r="D132" s="509">
        <v>0.42499999999999999</v>
      </c>
      <c r="E132" s="508">
        <v>1</v>
      </c>
      <c r="F132" s="572">
        <v>9</v>
      </c>
      <c r="G132" s="507">
        <f>F132/12</f>
        <v>0.75</v>
      </c>
      <c r="H132" s="573">
        <f>ROUND(C132*(1+D132)*E132*G132,0)</f>
        <v>84756</v>
      </c>
      <c r="I132" s="574" t="s">
        <v>15</v>
      </c>
      <c r="J132" s="575" t="s">
        <v>23</v>
      </c>
      <c r="K132" s="576"/>
    </row>
    <row r="133" spans="1:12" x14ac:dyDescent="0.2">
      <c r="A133" s="531" t="s">
        <v>17</v>
      </c>
      <c r="B133" s="564" t="s">
        <v>17</v>
      </c>
      <c r="C133" s="512">
        <v>84062</v>
      </c>
      <c r="D133" s="505">
        <v>0.42499999999999999</v>
      </c>
      <c r="E133" s="504">
        <v>1</v>
      </c>
      <c r="F133" s="561">
        <v>12</v>
      </c>
      <c r="G133" s="503">
        <f>F133/12</f>
        <v>1</v>
      </c>
      <c r="H133" s="562">
        <f>ROUND(C133*(1+D133)*E133*G133,0)</f>
        <v>119788</v>
      </c>
      <c r="I133" s="563" t="s">
        <v>15</v>
      </c>
      <c r="J133" s="559"/>
      <c r="K133" s="576"/>
    </row>
    <row r="134" spans="1:12" x14ac:dyDescent="0.2">
      <c r="A134" s="531" t="s">
        <v>18</v>
      </c>
      <c r="B134" s="565" t="s">
        <v>18</v>
      </c>
      <c r="C134" s="512">
        <v>89106</v>
      </c>
      <c r="D134" s="505">
        <v>0.42499999999999999</v>
      </c>
      <c r="E134" s="504">
        <v>1</v>
      </c>
      <c r="F134" s="561">
        <v>12</v>
      </c>
      <c r="G134" s="503">
        <f>F134/12</f>
        <v>1</v>
      </c>
      <c r="H134" s="562">
        <f>ROUND(C134*(1+D134)*E134*G134,0)</f>
        <v>126976</v>
      </c>
      <c r="I134" s="563" t="s">
        <v>15</v>
      </c>
      <c r="J134" s="559"/>
      <c r="K134" s="576"/>
    </row>
    <row r="135" spans="1:12" x14ac:dyDescent="0.2">
      <c r="A135" s="531" t="s">
        <v>19</v>
      </c>
      <c r="B135" s="565" t="s">
        <v>19</v>
      </c>
      <c r="C135" s="512">
        <v>94452</v>
      </c>
      <c r="D135" s="505">
        <v>0.42499999999999999</v>
      </c>
      <c r="E135" s="504">
        <v>1</v>
      </c>
      <c r="F135" s="561">
        <v>12</v>
      </c>
      <c r="G135" s="503">
        <f>F135/12</f>
        <v>1</v>
      </c>
      <c r="H135" s="562">
        <f>ROUND(C135*(1+D135)*E135*G135,0)</f>
        <v>134594</v>
      </c>
      <c r="I135" s="563" t="s">
        <v>15</v>
      </c>
      <c r="J135" s="559"/>
      <c r="K135" s="576"/>
    </row>
    <row r="136" spans="1:12" x14ac:dyDescent="0.2">
      <c r="A136" s="531" t="s">
        <v>20</v>
      </c>
      <c r="B136" s="566" t="s">
        <v>20</v>
      </c>
      <c r="C136" s="511">
        <v>100119</v>
      </c>
      <c r="D136" s="501">
        <v>0.42499999999999999</v>
      </c>
      <c r="E136" s="500">
        <v>1</v>
      </c>
      <c r="F136" s="567">
        <v>12</v>
      </c>
      <c r="G136" s="499">
        <f>F136/12</f>
        <v>1</v>
      </c>
      <c r="H136" s="568">
        <f>ROUND(C136*(1+D136)*E136*G136,0)</f>
        <v>142670</v>
      </c>
      <c r="I136" s="569" t="s">
        <v>15</v>
      </c>
      <c r="J136" s="570"/>
      <c r="K136" s="576"/>
    </row>
    <row r="137" spans="1:12" ht="74.25" customHeight="1" x14ac:dyDescent="0.2">
      <c r="B137" s="1112" t="s">
        <v>60</v>
      </c>
      <c r="C137" s="1113"/>
      <c r="D137" s="1113"/>
      <c r="E137" s="1113"/>
      <c r="F137" s="1113"/>
      <c r="G137" s="1113"/>
      <c r="H137" s="1113"/>
      <c r="I137" s="1113"/>
      <c r="J137" s="1114"/>
      <c r="K137" s="577"/>
    </row>
    <row r="138" spans="1:12" ht="24" x14ac:dyDescent="0.2">
      <c r="A138" s="531" t="s">
        <v>13</v>
      </c>
      <c r="B138" s="566" t="s">
        <v>61</v>
      </c>
      <c r="C138" s="513">
        <v>43576</v>
      </c>
      <c r="D138" s="509">
        <v>0.42499999999999999</v>
      </c>
      <c r="E138" s="508">
        <v>1</v>
      </c>
      <c r="F138" s="572">
        <v>0</v>
      </c>
      <c r="G138" s="507">
        <f>F138/12</f>
        <v>0</v>
      </c>
      <c r="H138" s="573">
        <f>ROUND(C138*(1+D138)*E138*G138,0)</f>
        <v>0</v>
      </c>
      <c r="I138" s="574" t="s">
        <v>15</v>
      </c>
      <c r="J138" s="575" t="s">
        <v>16</v>
      </c>
      <c r="K138" s="576"/>
    </row>
    <row r="139" spans="1:12" x14ac:dyDescent="0.2">
      <c r="A139" s="531" t="s">
        <v>17</v>
      </c>
      <c r="B139" s="564" t="s">
        <v>17</v>
      </c>
      <c r="C139" s="512">
        <v>46191</v>
      </c>
      <c r="D139" s="505">
        <v>0.42499999999999999</v>
      </c>
      <c r="E139" s="504">
        <v>1</v>
      </c>
      <c r="F139" s="561">
        <v>9</v>
      </c>
      <c r="G139" s="503">
        <f>F139/12</f>
        <v>0.75</v>
      </c>
      <c r="H139" s="562">
        <f>ROUND(C139*(1+D139)*E139*G139,0)</f>
        <v>49367</v>
      </c>
      <c r="I139" s="563" t="s">
        <v>15</v>
      </c>
      <c r="J139" s="559"/>
      <c r="K139" s="576"/>
    </row>
    <row r="140" spans="1:12" x14ac:dyDescent="0.2">
      <c r="A140" s="531" t="s">
        <v>18</v>
      </c>
      <c r="B140" s="565" t="s">
        <v>18</v>
      </c>
      <c r="C140" s="512">
        <v>48962</v>
      </c>
      <c r="D140" s="505">
        <v>0.42499999999999999</v>
      </c>
      <c r="E140" s="504">
        <v>1</v>
      </c>
      <c r="F140" s="561">
        <v>12</v>
      </c>
      <c r="G140" s="503">
        <f>F140/12</f>
        <v>1</v>
      </c>
      <c r="H140" s="562">
        <f>ROUND(C140*(1+D140)*E140*G140,0)</f>
        <v>69771</v>
      </c>
      <c r="I140" s="563" t="s">
        <v>15</v>
      </c>
      <c r="J140" s="559"/>
      <c r="K140" s="576"/>
    </row>
    <row r="141" spans="1:12" x14ac:dyDescent="0.2">
      <c r="A141" s="531" t="s">
        <v>19</v>
      </c>
      <c r="B141" s="565" t="s">
        <v>19</v>
      </c>
      <c r="C141" s="512">
        <v>51900</v>
      </c>
      <c r="D141" s="505">
        <v>0.42499999999999999</v>
      </c>
      <c r="E141" s="504">
        <v>1</v>
      </c>
      <c r="F141" s="561">
        <v>12</v>
      </c>
      <c r="G141" s="503">
        <f>F141/12</f>
        <v>1</v>
      </c>
      <c r="H141" s="562">
        <f>ROUND(C141*(1+D141)*E141*G141,0)</f>
        <v>73958</v>
      </c>
      <c r="I141" s="563" t="s">
        <v>15</v>
      </c>
      <c r="J141" s="559"/>
      <c r="K141" s="576"/>
    </row>
    <row r="142" spans="1:12" x14ac:dyDescent="0.2">
      <c r="A142" s="531" t="s">
        <v>20</v>
      </c>
      <c r="B142" s="566" t="s">
        <v>20</v>
      </c>
      <c r="C142" s="511">
        <v>55014</v>
      </c>
      <c r="D142" s="501">
        <v>0.42499999999999999</v>
      </c>
      <c r="E142" s="500">
        <v>1</v>
      </c>
      <c r="F142" s="567">
        <v>12</v>
      </c>
      <c r="G142" s="499">
        <f>F142/12</f>
        <v>1</v>
      </c>
      <c r="H142" s="568">
        <f>ROUND(C142*(1+D142)*E142*G142,0)</f>
        <v>78395</v>
      </c>
      <c r="I142" s="569" t="s">
        <v>15</v>
      </c>
      <c r="J142" s="570"/>
      <c r="K142" s="576"/>
    </row>
    <row r="143" spans="1:12" ht="29.25" customHeight="1" x14ac:dyDescent="0.2">
      <c r="B143" s="1112" t="s">
        <v>62</v>
      </c>
      <c r="C143" s="1113"/>
      <c r="D143" s="1113"/>
      <c r="E143" s="1113"/>
      <c r="F143" s="1113"/>
      <c r="G143" s="1113"/>
      <c r="H143" s="1113"/>
      <c r="I143" s="1113"/>
      <c r="J143" s="1114"/>
      <c r="K143" s="577"/>
    </row>
    <row r="144" spans="1:12" x14ac:dyDescent="0.2">
      <c r="A144" s="531" t="s">
        <v>13</v>
      </c>
      <c r="B144" s="566" t="s">
        <v>63</v>
      </c>
      <c r="C144" s="513">
        <v>88428</v>
      </c>
      <c r="D144" s="509">
        <v>0.42499999999999999</v>
      </c>
      <c r="E144" s="508">
        <v>1</v>
      </c>
      <c r="F144" s="572">
        <v>9</v>
      </c>
      <c r="G144" s="507">
        <f>F144/12</f>
        <v>0.75</v>
      </c>
      <c r="H144" s="573">
        <f>ROUND(C144*(1+D144)*E144*G144,0)</f>
        <v>94507</v>
      </c>
      <c r="I144" s="574" t="s">
        <v>15</v>
      </c>
      <c r="J144" s="575" t="s">
        <v>16</v>
      </c>
      <c r="K144" s="576"/>
    </row>
    <row r="145" spans="1:11" x14ac:dyDescent="0.2">
      <c r="A145" s="531" t="s">
        <v>17</v>
      </c>
      <c r="B145" s="564" t="s">
        <v>17</v>
      </c>
      <c r="C145" s="512">
        <v>93402</v>
      </c>
      <c r="D145" s="505">
        <v>0.42499999999999999</v>
      </c>
      <c r="E145" s="504">
        <v>1</v>
      </c>
      <c r="F145" s="561">
        <v>12</v>
      </c>
      <c r="G145" s="503">
        <f>F145/12</f>
        <v>1</v>
      </c>
      <c r="H145" s="562">
        <f>ROUND(C145*(1+D145)*E145*G145,0)</f>
        <v>133098</v>
      </c>
      <c r="I145" s="563" t="s">
        <v>15</v>
      </c>
      <c r="J145" s="559"/>
      <c r="K145" s="576"/>
    </row>
    <row r="146" spans="1:11" x14ac:dyDescent="0.2">
      <c r="A146" s="531" t="s">
        <v>18</v>
      </c>
      <c r="B146" s="565" t="s">
        <v>18</v>
      </c>
      <c r="C146" s="512">
        <v>99006</v>
      </c>
      <c r="D146" s="505">
        <v>0.42499999999999999</v>
      </c>
      <c r="E146" s="504">
        <v>1</v>
      </c>
      <c r="F146" s="561">
        <v>12</v>
      </c>
      <c r="G146" s="503">
        <f>F146/12</f>
        <v>1</v>
      </c>
      <c r="H146" s="562">
        <f>ROUND(C146*(1+D146)*E146*G146,0)</f>
        <v>141084</v>
      </c>
      <c r="I146" s="563" t="s">
        <v>15</v>
      </c>
      <c r="J146" s="559"/>
      <c r="K146" s="576"/>
    </row>
    <row r="147" spans="1:11" x14ac:dyDescent="0.2">
      <c r="A147" s="531" t="s">
        <v>19</v>
      </c>
      <c r="B147" s="565" t="s">
        <v>19</v>
      </c>
      <c r="C147" s="512">
        <v>104947</v>
      </c>
      <c r="D147" s="505">
        <v>0.42499999999999999</v>
      </c>
      <c r="E147" s="504">
        <v>1</v>
      </c>
      <c r="F147" s="561">
        <v>12</v>
      </c>
      <c r="G147" s="503">
        <f>F147/12</f>
        <v>1</v>
      </c>
      <c r="H147" s="562">
        <f>ROUND(C147*(1+D147)*E147*G147,0)</f>
        <v>149549</v>
      </c>
      <c r="I147" s="563" t="s">
        <v>15</v>
      </c>
      <c r="J147" s="559"/>
      <c r="K147" s="576"/>
    </row>
    <row r="148" spans="1:11" x14ac:dyDescent="0.2">
      <c r="A148" s="531" t="s">
        <v>20</v>
      </c>
      <c r="B148" s="566" t="s">
        <v>20</v>
      </c>
      <c r="C148" s="511">
        <v>111244</v>
      </c>
      <c r="D148" s="501">
        <v>0.42499999999999999</v>
      </c>
      <c r="E148" s="500">
        <v>1</v>
      </c>
      <c r="F148" s="567">
        <v>12</v>
      </c>
      <c r="G148" s="499">
        <f>F148/12</f>
        <v>1</v>
      </c>
      <c r="H148" s="568">
        <f>ROUND(C148*(1+D148)*E148*G148,0)</f>
        <v>158523</v>
      </c>
      <c r="I148" s="569" t="s">
        <v>15</v>
      </c>
      <c r="J148" s="570"/>
      <c r="K148" s="576"/>
    </row>
    <row r="149" spans="1:11" ht="41.25" customHeight="1" x14ac:dyDescent="0.2">
      <c r="B149" s="1112" t="s">
        <v>64</v>
      </c>
      <c r="C149" s="1113"/>
      <c r="D149" s="1113"/>
      <c r="E149" s="1113"/>
      <c r="F149" s="1113"/>
      <c r="G149" s="1113"/>
      <c r="H149" s="1113"/>
      <c r="I149" s="1113"/>
      <c r="J149" s="1114"/>
      <c r="K149" s="577"/>
    </row>
    <row r="150" spans="1:11" x14ac:dyDescent="0.2">
      <c r="A150" s="531" t="s">
        <v>13</v>
      </c>
      <c r="B150" s="566" t="s">
        <v>65</v>
      </c>
      <c r="C150" s="510">
        <v>88428</v>
      </c>
      <c r="D150" s="509">
        <v>0.42499999999999999</v>
      </c>
      <c r="E150" s="508">
        <v>1</v>
      </c>
      <c r="F150" s="572">
        <v>9</v>
      </c>
      <c r="G150" s="507">
        <f>F150/12</f>
        <v>0.75</v>
      </c>
      <c r="H150" s="573">
        <f>ROUND(C150*(1+D150)*E150*G150,0)</f>
        <v>94507</v>
      </c>
      <c r="I150" s="574" t="s">
        <v>15</v>
      </c>
      <c r="J150" s="575" t="s">
        <v>16</v>
      </c>
      <c r="K150" s="576"/>
    </row>
    <row r="151" spans="1:11" x14ac:dyDescent="0.2">
      <c r="A151" s="531" t="s">
        <v>17</v>
      </c>
      <c r="B151" s="564" t="s">
        <v>17</v>
      </c>
      <c r="C151" s="506">
        <v>93402</v>
      </c>
      <c r="D151" s="505">
        <v>0.42499999999999999</v>
      </c>
      <c r="E151" s="504">
        <v>1</v>
      </c>
      <c r="F151" s="561">
        <v>12</v>
      </c>
      <c r="G151" s="503">
        <f>F151/12</f>
        <v>1</v>
      </c>
      <c r="H151" s="562">
        <f>ROUND(C151*(1+D151)*E151*G151,0)</f>
        <v>133098</v>
      </c>
      <c r="I151" s="563" t="s">
        <v>15</v>
      </c>
      <c r="J151" s="559"/>
      <c r="K151" s="576"/>
    </row>
    <row r="152" spans="1:11" x14ac:dyDescent="0.2">
      <c r="A152" s="531" t="s">
        <v>18</v>
      </c>
      <c r="B152" s="565" t="s">
        <v>18</v>
      </c>
      <c r="C152" s="506">
        <v>99006</v>
      </c>
      <c r="D152" s="505">
        <v>0.42499999999999999</v>
      </c>
      <c r="E152" s="504">
        <v>1</v>
      </c>
      <c r="F152" s="561">
        <v>12</v>
      </c>
      <c r="G152" s="503">
        <f>F152/12</f>
        <v>1</v>
      </c>
      <c r="H152" s="562">
        <f>ROUND(C152*(1+D152)*E152*G152,0)</f>
        <v>141084</v>
      </c>
      <c r="I152" s="563" t="s">
        <v>15</v>
      </c>
      <c r="J152" s="559"/>
      <c r="K152" s="576"/>
    </row>
    <row r="153" spans="1:11" x14ac:dyDescent="0.2">
      <c r="A153" s="531" t="s">
        <v>19</v>
      </c>
      <c r="B153" s="565" t="s">
        <v>19</v>
      </c>
      <c r="C153" s="506">
        <v>104947</v>
      </c>
      <c r="D153" s="505">
        <v>0.42499999999999999</v>
      </c>
      <c r="E153" s="504">
        <v>1</v>
      </c>
      <c r="F153" s="561">
        <v>12</v>
      </c>
      <c r="G153" s="503">
        <f>F153/12</f>
        <v>1</v>
      </c>
      <c r="H153" s="562">
        <f>ROUND(C153*(1+D153)*E153*G153,0)</f>
        <v>149549</v>
      </c>
      <c r="I153" s="563" t="s">
        <v>15</v>
      </c>
      <c r="J153" s="559"/>
      <c r="K153" s="576"/>
    </row>
    <row r="154" spans="1:11" x14ac:dyDescent="0.2">
      <c r="A154" s="531" t="s">
        <v>20</v>
      </c>
      <c r="B154" s="566" t="s">
        <v>20</v>
      </c>
      <c r="C154" s="502">
        <v>111244</v>
      </c>
      <c r="D154" s="501">
        <v>0.42499999999999999</v>
      </c>
      <c r="E154" s="500">
        <v>1</v>
      </c>
      <c r="F154" s="567">
        <v>12</v>
      </c>
      <c r="G154" s="499">
        <f>F154/12</f>
        <v>1</v>
      </c>
      <c r="H154" s="568">
        <f>ROUND(C154*(1+D154)*E154*G154,0)</f>
        <v>158523</v>
      </c>
      <c r="I154" s="569" t="s">
        <v>15</v>
      </c>
      <c r="J154" s="570"/>
      <c r="K154" s="576"/>
    </row>
    <row r="155" spans="1:11" s="581" customFormat="1" ht="45" customHeight="1" x14ac:dyDescent="0.2">
      <c r="B155" s="1112" t="s">
        <v>64</v>
      </c>
      <c r="C155" s="1113"/>
      <c r="D155" s="1113"/>
      <c r="E155" s="1113"/>
      <c r="F155" s="1113"/>
      <c r="G155" s="1113"/>
      <c r="H155" s="1113"/>
      <c r="I155" s="1113"/>
      <c r="J155" s="1114"/>
      <c r="K155" s="577"/>
    </row>
    <row r="156" spans="1:11" x14ac:dyDescent="0.2">
      <c r="A156" s="531" t="s">
        <v>13</v>
      </c>
      <c r="B156" s="566" t="s">
        <v>66</v>
      </c>
      <c r="C156" s="510">
        <v>88428</v>
      </c>
      <c r="D156" s="509">
        <v>0.42499999999999999</v>
      </c>
      <c r="E156" s="508">
        <v>0.77500000000000002</v>
      </c>
      <c r="F156" s="572">
        <v>9</v>
      </c>
      <c r="G156" s="507">
        <f>F156/12</f>
        <v>0.75</v>
      </c>
      <c r="H156" s="573">
        <f>ROUND(C156*(1+D156)*E156*G156,0)</f>
        <v>73243</v>
      </c>
      <c r="I156" s="574" t="s">
        <v>15</v>
      </c>
      <c r="J156" s="575" t="s">
        <v>16</v>
      </c>
      <c r="K156" s="576"/>
    </row>
    <row r="157" spans="1:11" x14ac:dyDescent="0.2">
      <c r="A157" s="531" t="s">
        <v>17</v>
      </c>
      <c r="B157" s="564" t="s">
        <v>17</v>
      </c>
      <c r="C157" s="506">
        <v>93402</v>
      </c>
      <c r="D157" s="505">
        <v>0.42499999999999999</v>
      </c>
      <c r="E157" s="504">
        <v>0.77500000000000002</v>
      </c>
      <c r="F157" s="561">
        <v>12</v>
      </c>
      <c r="G157" s="503">
        <f>F157/12</f>
        <v>1</v>
      </c>
      <c r="H157" s="562">
        <f>ROUND(C157*(1+D157)*E157*G157,0)</f>
        <v>103151</v>
      </c>
      <c r="I157" s="563" t="s">
        <v>15</v>
      </c>
      <c r="J157" s="559"/>
      <c r="K157" s="576"/>
    </row>
    <row r="158" spans="1:11" x14ac:dyDescent="0.2">
      <c r="A158" s="531" t="s">
        <v>18</v>
      </c>
      <c r="B158" s="565" t="s">
        <v>18</v>
      </c>
      <c r="C158" s="506">
        <v>99006</v>
      </c>
      <c r="D158" s="505">
        <v>0.42499999999999999</v>
      </c>
      <c r="E158" s="504">
        <v>0.77500000000000002</v>
      </c>
      <c r="F158" s="561">
        <v>12</v>
      </c>
      <c r="G158" s="503">
        <f>F158/12</f>
        <v>1</v>
      </c>
      <c r="H158" s="562">
        <f>ROUND(C158*(1+D158)*E158*G158,0)</f>
        <v>109340</v>
      </c>
      <c r="I158" s="563" t="s">
        <v>15</v>
      </c>
      <c r="J158" s="559"/>
      <c r="K158" s="576"/>
    </row>
    <row r="159" spans="1:11" x14ac:dyDescent="0.2">
      <c r="A159" s="531" t="s">
        <v>19</v>
      </c>
      <c r="B159" s="565" t="s">
        <v>19</v>
      </c>
      <c r="C159" s="506">
        <v>104947</v>
      </c>
      <c r="D159" s="505">
        <v>0.42499999999999999</v>
      </c>
      <c r="E159" s="504">
        <v>0.77500000000000002</v>
      </c>
      <c r="F159" s="561">
        <v>12</v>
      </c>
      <c r="G159" s="503">
        <f>F159/12</f>
        <v>1</v>
      </c>
      <c r="H159" s="562">
        <f>ROUND(C159*(1+D159)*E159*G159,0)</f>
        <v>115901</v>
      </c>
      <c r="I159" s="563" t="s">
        <v>15</v>
      </c>
      <c r="J159" s="559"/>
      <c r="K159" s="576"/>
    </row>
    <row r="160" spans="1:11" x14ac:dyDescent="0.2">
      <c r="A160" s="531" t="s">
        <v>20</v>
      </c>
      <c r="B160" s="566" t="s">
        <v>20</v>
      </c>
      <c r="C160" s="502">
        <v>111244</v>
      </c>
      <c r="D160" s="501">
        <v>0.42499999999999999</v>
      </c>
      <c r="E160" s="500">
        <v>0.77500000000000002</v>
      </c>
      <c r="F160" s="567">
        <v>12</v>
      </c>
      <c r="G160" s="499">
        <f>F160/12</f>
        <v>1</v>
      </c>
      <c r="H160" s="568">
        <f>ROUND(C160*(1+D160)*E160*G160,0)</f>
        <v>122855</v>
      </c>
      <c r="I160" s="569" t="s">
        <v>15</v>
      </c>
      <c r="J160" s="570"/>
      <c r="K160" s="576"/>
    </row>
    <row r="161" spans="1:11" s="581" customFormat="1" x14ac:dyDescent="0.2">
      <c r="B161" s="1112" t="s">
        <v>67</v>
      </c>
      <c r="C161" s="1113"/>
      <c r="D161" s="1113"/>
      <c r="E161" s="1113"/>
      <c r="F161" s="1113"/>
      <c r="G161" s="1113"/>
      <c r="H161" s="1113"/>
      <c r="I161" s="1113"/>
      <c r="J161" s="1114"/>
      <c r="K161" s="577"/>
    </row>
    <row r="162" spans="1:11" x14ac:dyDescent="0.2">
      <c r="A162" s="531" t="s">
        <v>13</v>
      </c>
      <c r="B162" s="566" t="s">
        <v>66</v>
      </c>
      <c r="C162" s="510">
        <v>88428</v>
      </c>
      <c r="D162" s="509">
        <v>0.42499999999999999</v>
      </c>
      <c r="E162" s="508">
        <v>0.22500000000000001</v>
      </c>
      <c r="F162" s="572">
        <v>0</v>
      </c>
      <c r="G162" s="507">
        <f>F162/12</f>
        <v>0</v>
      </c>
      <c r="H162" s="573">
        <f>ROUND(C162*(1+D162)*E162*G162,0)</f>
        <v>0</v>
      </c>
      <c r="I162" s="574" t="s">
        <v>26</v>
      </c>
      <c r="J162" s="575" t="s">
        <v>16</v>
      </c>
      <c r="K162" s="576"/>
    </row>
    <row r="163" spans="1:11" x14ac:dyDescent="0.2">
      <c r="A163" s="531" t="s">
        <v>17</v>
      </c>
      <c r="B163" s="564" t="s">
        <v>17</v>
      </c>
      <c r="C163" s="506">
        <v>93402</v>
      </c>
      <c r="D163" s="505">
        <v>0.42499999999999999</v>
      </c>
      <c r="E163" s="504">
        <v>0.22500000000000001</v>
      </c>
      <c r="F163" s="561">
        <v>4</v>
      </c>
      <c r="G163" s="503">
        <f>F163/12</f>
        <v>0.33333333333333331</v>
      </c>
      <c r="H163" s="562">
        <f>ROUND(C163*(1+D163)*E163*G163,0)</f>
        <v>9982</v>
      </c>
      <c r="I163" s="563" t="s">
        <v>26</v>
      </c>
      <c r="J163" s="559"/>
      <c r="K163" s="576"/>
    </row>
    <row r="164" spans="1:11" x14ac:dyDescent="0.2">
      <c r="A164" s="531" t="s">
        <v>18</v>
      </c>
      <c r="B164" s="565" t="s">
        <v>18</v>
      </c>
      <c r="C164" s="506">
        <v>99006</v>
      </c>
      <c r="D164" s="505">
        <v>0.42499999999999999</v>
      </c>
      <c r="E164" s="504">
        <v>0.22500000000000001</v>
      </c>
      <c r="F164" s="561">
        <v>12</v>
      </c>
      <c r="G164" s="503">
        <f>F164/12</f>
        <v>1</v>
      </c>
      <c r="H164" s="562">
        <f>ROUND(C164*(1+D164)*E164*G164,0)</f>
        <v>31744</v>
      </c>
      <c r="I164" s="563" t="s">
        <v>26</v>
      </c>
      <c r="J164" s="559"/>
      <c r="K164" s="576"/>
    </row>
    <row r="165" spans="1:11" x14ac:dyDescent="0.2">
      <c r="A165" s="531" t="s">
        <v>19</v>
      </c>
      <c r="B165" s="565" t="s">
        <v>19</v>
      </c>
      <c r="C165" s="506">
        <v>104947</v>
      </c>
      <c r="D165" s="505">
        <v>0.42499999999999999</v>
      </c>
      <c r="E165" s="504">
        <v>0.22500000000000001</v>
      </c>
      <c r="F165" s="561">
        <v>12</v>
      </c>
      <c r="G165" s="503">
        <f>F165/12</f>
        <v>1</v>
      </c>
      <c r="H165" s="562">
        <f>ROUND(C165*(1+D165)*E165*G165,0)</f>
        <v>33649</v>
      </c>
      <c r="I165" s="563" t="s">
        <v>26</v>
      </c>
      <c r="J165" s="559"/>
      <c r="K165" s="576"/>
    </row>
    <row r="166" spans="1:11" x14ac:dyDescent="0.2">
      <c r="A166" s="531" t="s">
        <v>20</v>
      </c>
      <c r="B166" s="566" t="s">
        <v>20</v>
      </c>
      <c r="C166" s="502">
        <v>111244</v>
      </c>
      <c r="D166" s="501">
        <v>0.42499999999999999</v>
      </c>
      <c r="E166" s="500">
        <v>0.22500000000000001</v>
      </c>
      <c r="F166" s="567">
        <v>12</v>
      </c>
      <c r="G166" s="499">
        <f>F166/12</f>
        <v>1</v>
      </c>
      <c r="H166" s="568">
        <f>ROUND(C166*(1+D166)*E166*G166,0)</f>
        <v>35668</v>
      </c>
      <c r="I166" s="569" t="s">
        <v>26</v>
      </c>
      <c r="J166" s="570"/>
      <c r="K166" s="576"/>
    </row>
    <row r="167" spans="1:11" s="581" customFormat="1" x14ac:dyDescent="0.2">
      <c r="B167" s="1112" t="s">
        <v>67</v>
      </c>
      <c r="C167" s="1113"/>
      <c r="D167" s="1113"/>
      <c r="E167" s="1113"/>
      <c r="F167" s="1113"/>
      <c r="G167" s="1113"/>
      <c r="H167" s="1113"/>
      <c r="I167" s="1113"/>
      <c r="J167" s="1114"/>
      <c r="K167" s="577"/>
    </row>
    <row r="168" spans="1:11" x14ac:dyDescent="0.2">
      <c r="A168" s="531" t="s">
        <v>13</v>
      </c>
      <c r="B168" s="566" t="s">
        <v>68</v>
      </c>
      <c r="C168" s="510">
        <v>67350</v>
      </c>
      <c r="D168" s="509">
        <v>0.42499999999999999</v>
      </c>
      <c r="E168" s="508">
        <v>1</v>
      </c>
      <c r="F168" s="572">
        <v>0</v>
      </c>
      <c r="G168" s="507">
        <f>F168/12</f>
        <v>0</v>
      </c>
      <c r="H168" s="573">
        <f>ROUND(C168*(1+D168)*E168*G168,0)</f>
        <v>0</v>
      </c>
      <c r="I168" s="574" t="s">
        <v>15</v>
      </c>
      <c r="J168" s="575" t="s">
        <v>16</v>
      </c>
      <c r="K168" s="576"/>
    </row>
    <row r="169" spans="1:11" x14ac:dyDescent="0.2">
      <c r="A169" s="531" t="s">
        <v>17</v>
      </c>
      <c r="B169" s="564" t="s">
        <v>17</v>
      </c>
      <c r="C169" s="506">
        <v>71391</v>
      </c>
      <c r="D169" s="505">
        <v>0.42499999999999999</v>
      </c>
      <c r="E169" s="504">
        <v>1</v>
      </c>
      <c r="F169" s="561">
        <v>6</v>
      </c>
      <c r="G169" s="503">
        <f>F169/12</f>
        <v>0.5</v>
      </c>
      <c r="H169" s="562">
        <f>ROUND(C169*(1+D169)*E169*G169,0)</f>
        <v>50866</v>
      </c>
      <c r="I169" s="563" t="s">
        <v>15</v>
      </c>
      <c r="J169" s="559"/>
      <c r="K169" s="576"/>
    </row>
    <row r="170" spans="1:11" x14ac:dyDescent="0.2">
      <c r="A170" s="531" t="s">
        <v>18</v>
      </c>
      <c r="B170" s="565" t="s">
        <v>18</v>
      </c>
      <c r="C170" s="506">
        <v>73155</v>
      </c>
      <c r="D170" s="505">
        <v>0.42499999999999999</v>
      </c>
      <c r="E170" s="504">
        <v>1</v>
      </c>
      <c r="F170" s="561">
        <v>12</v>
      </c>
      <c r="G170" s="503">
        <f>F170/12</f>
        <v>1</v>
      </c>
      <c r="H170" s="562">
        <f>ROUND(C170*(1+D170)*E170*G170,0)</f>
        <v>104246</v>
      </c>
      <c r="I170" s="563" t="s">
        <v>15</v>
      </c>
      <c r="J170" s="559"/>
      <c r="K170" s="576"/>
    </row>
    <row r="171" spans="1:11" x14ac:dyDescent="0.2">
      <c r="A171" s="531" t="s">
        <v>19</v>
      </c>
      <c r="B171" s="565" t="s">
        <v>19</v>
      </c>
      <c r="C171" s="506">
        <v>77545</v>
      </c>
      <c r="D171" s="505">
        <v>0.42499999999999999</v>
      </c>
      <c r="E171" s="504">
        <v>1</v>
      </c>
      <c r="F171" s="561">
        <v>12</v>
      </c>
      <c r="G171" s="503">
        <f>F171/12</f>
        <v>1</v>
      </c>
      <c r="H171" s="562">
        <f>ROUND(C171*(1+D171)*E171*G171,0)</f>
        <v>110502</v>
      </c>
      <c r="I171" s="563" t="s">
        <v>15</v>
      </c>
      <c r="J171" s="559"/>
      <c r="K171" s="576"/>
    </row>
    <row r="172" spans="1:11" x14ac:dyDescent="0.2">
      <c r="A172" s="531" t="s">
        <v>20</v>
      </c>
      <c r="B172" s="566" t="s">
        <v>20</v>
      </c>
      <c r="C172" s="502">
        <v>82197</v>
      </c>
      <c r="D172" s="501">
        <v>0.42499999999999999</v>
      </c>
      <c r="E172" s="500">
        <v>1</v>
      </c>
      <c r="F172" s="567">
        <v>12</v>
      </c>
      <c r="G172" s="499">
        <f>F172/12</f>
        <v>1</v>
      </c>
      <c r="H172" s="568">
        <f>ROUND(C172*(1+D172)*E172*G172,0)</f>
        <v>117131</v>
      </c>
      <c r="I172" s="569" t="s">
        <v>15</v>
      </c>
      <c r="J172" s="570"/>
      <c r="K172" s="576"/>
    </row>
    <row r="173" spans="1:11" ht="30" customHeight="1" x14ac:dyDescent="0.2">
      <c r="B173" s="1112" t="s">
        <v>69</v>
      </c>
      <c r="C173" s="1113"/>
      <c r="D173" s="1113"/>
      <c r="E173" s="1113"/>
      <c r="F173" s="1113"/>
      <c r="G173" s="1113"/>
      <c r="H173" s="1113"/>
      <c r="I173" s="1113"/>
      <c r="J173" s="1114"/>
      <c r="K173" s="577"/>
    </row>
    <row r="174" spans="1:11" x14ac:dyDescent="0.2">
      <c r="A174" s="531" t="s">
        <v>13</v>
      </c>
      <c r="B174" s="566" t="s">
        <v>70</v>
      </c>
      <c r="C174" s="510">
        <v>93766</v>
      </c>
      <c r="D174" s="509">
        <v>0.42499999999999999</v>
      </c>
      <c r="E174" s="508">
        <v>1</v>
      </c>
      <c r="F174" s="572">
        <v>0</v>
      </c>
      <c r="G174" s="507">
        <f>F174/12</f>
        <v>0</v>
      </c>
      <c r="H174" s="573">
        <f>ROUND(C174*(1+D174)*E174*G174,0)</f>
        <v>0</v>
      </c>
      <c r="I174" s="574" t="s">
        <v>15</v>
      </c>
      <c r="J174" s="575" t="s">
        <v>16</v>
      </c>
      <c r="K174" s="576"/>
    </row>
    <row r="175" spans="1:11" x14ac:dyDescent="0.2">
      <c r="A175" s="531" t="s">
        <v>17</v>
      </c>
      <c r="B175" s="564" t="s">
        <v>17</v>
      </c>
      <c r="C175" s="506">
        <v>99392</v>
      </c>
      <c r="D175" s="505">
        <v>0.42499999999999999</v>
      </c>
      <c r="E175" s="504">
        <v>1</v>
      </c>
      <c r="F175" s="561">
        <v>6</v>
      </c>
      <c r="G175" s="503">
        <f>F175/12</f>
        <v>0.5</v>
      </c>
      <c r="H175" s="562">
        <f>ROUND(C175*(1+D175)*E175*G175,0)</f>
        <v>70817</v>
      </c>
      <c r="I175" s="563" t="s">
        <v>15</v>
      </c>
      <c r="J175" s="559"/>
      <c r="K175" s="576"/>
    </row>
    <row r="176" spans="1:11" x14ac:dyDescent="0.2">
      <c r="A176" s="531" t="s">
        <v>18</v>
      </c>
      <c r="B176" s="565" t="s">
        <v>18</v>
      </c>
      <c r="C176" s="506">
        <v>99392</v>
      </c>
      <c r="D176" s="505">
        <v>0.42499999999999999</v>
      </c>
      <c r="E176" s="504">
        <v>1</v>
      </c>
      <c r="F176" s="561">
        <v>12</v>
      </c>
      <c r="G176" s="503">
        <f>F176/12</f>
        <v>1</v>
      </c>
      <c r="H176" s="562">
        <f>ROUND(C176*(1+D176)*E176*G176,0)</f>
        <v>141634</v>
      </c>
      <c r="I176" s="563" t="s">
        <v>15</v>
      </c>
      <c r="J176" s="559"/>
      <c r="K176" s="576"/>
    </row>
    <row r="177" spans="1:11" x14ac:dyDescent="0.2">
      <c r="A177" s="531" t="s">
        <v>19</v>
      </c>
      <c r="B177" s="565" t="s">
        <v>19</v>
      </c>
      <c r="C177" s="506">
        <v>105356</v>
      </c>
      <c r="D177" s="505">
        <v>0.42499999999999999</v>
      </c>
      <c r="E177" s="504">
        <v>1</v>
      </c>
      <c r="F177" s="561">
        <v>12</v>
      </c>
      <c r="G177" s="503">
        <f>F177/12</f>
        <v>1</v>
      </c>
      <c r="H177" s="562">
        <f>ROUND(C177*(1+D177)*E177*G177,0)</f>
        <v>150132</v>
      </c>
      <c r="I177" s="563" t="s">
        <v>15</v>
      </c>
      <c r="J177" s="559"/>
      <c r="K177" s="576"/>
    </row>
    <row r="178" spans="1:11" x14ac:dyDescent="0.2">
      <c r="A178" s="531" t="s">
        <v>20</v>
      </c>
      <c r="B178" s="566" t="s">
        <v>20</v>
      </c>
      <c r="C178" s="502">
        <v>111677</v>
      </c>
      <c r="D178" s="501">
        <v>0.42499999999999999</v>
      </c>
      <c r="E178" s="500">
        <v>1</v>
      </c>
      <c r="F178" s="567">
        <v>12</v>
      </c>
      <c r="G178" s="499">
        <f>F178/12</f>
        <v>1</v>
      </c>
      <c r="H178" s="568">
        <f>ROUND(C178*(1+D178)*E178*G178,0)</f>
        <v>159140</v>
      </c>
      <c r="I178" s="569" t="s">
        <v>15</v>
      </c>
      <c r="J178" s="570"/>
      <c r="K178" s="576"/>
    </row>
    <row r="179" spans="1:11" ht="47.25" customHeight="1" x14ac:dyDescent="0.2">
      <c r="B179" s="1112" t="s">
        <v>71</v>
      </c>
      <c r="C179" s="1113"/>
      <c r="D179" s="1113"/>
      <c r="E179" s="1113"/>
      <c r="F179" s="1113"/>
      <c r="G179" s="1113"/>
      <c r="H179" s="1113"/>
      <c r="I179" s="1113"/>
      <c r="J179" s="1114"/>
      <c r="K179" s="577"/>
    </row>
    <row r="180" spans="1:11" ht="24" x14ac:dyDescent="0.2">
      <c r="A180" s="531" t="s">
        <v>13</v>
      </c>
      <c r="B180" s="566" t="s">
        <v>72</v>
      </c>
      <c r="C180" s="510">
        <v>80517</v>
      </c>
      <c r="D180" s="509">
        <v>0.42499999999999999</v>
      </c>
      <c r="E180" s="508">
        <v>1</v>
      </c>
      <c r="F180" s="572">
        <v>0</v>
      </c>
      <c r="G180" s="507">
        <f>F180/12</f>
        <v>0</v>
      </c>
      <c r="H180" s="573">
        <f>ROUND(C180*(1+D180)*E180*G180,0)</f>
        <v>0</v>
      </c>
      <c r="I180" s="574" t="s">
        <v>15</v>
      </c>
      <c r="J180" s="575" t="s">
        <v>73</v>
      </c>
      <c r="K180" s="576"/>
    </row>
    <row r="181" spans="1:11" x14ac:dyDescent="0.2">
      <c r="A181" s="531" t="s">
        <v>17</v>
      </c>
      <c r="B181" s="564" t="s">
        <v>17</v>
      </c>
      <c r="C181" s="506">
        <v>85348</v>
      </c>
      <c r="D181" s="505">
        <v>0.42499999999999999</v>
      </c>
      <c r="E181" s="504">
        <v>1</v>
      </c>
      <c r="F181" s="561">
        <v>4</v>
      </c>
      <c r="G181" s="503">
        <f>F181/12</f>
        <v>0.33333333333333331</v>
      </c>
      <c r="H181" s="562">
        <f>ROUND(C181*(1+D181)*E181*G181,0)</f>
        <v>40540</v>
      </c>
      <c r="I181" s="563" t="s">
        <v>15</v>
      </c>
      <c r="J181" s="559"/>
      <c r="K181" s="576"/>
    </row>
    <row r="182" spans="1:11" x14ac:dyDescent="0.2">
      <c r="A182" s="531" t="s">
        <v>18</v>
      </c>
      <c r="B182" s="565" t="s">
        <v>18</v>
      </c>
      <c r="C182" s="506">
        <v>90469</v>
      </c>
      <c r="D182" s="505">
        <v>0.42499999999999999</v>
      </c>
      <c r="E182" s="504">
        <v>1</v>
      </c>
      <c r="F182" s="561">
        <v>12</v>
      </c>
      <c r="G182" s="503">
        <f>F182/12</f>
        <v>1</v>
      </c>
      <c r="H182" s="562">
        <f>ROUND(C182*(1+D182)*E182*G182,0)</f>
        <v>128918</v>
      </c>
      <c r="I182" s="563" t="s">
        <v>15</v>
      </c>
      <c r="J182" s="559"/>
      <c r="K182" s="576"/>
    </row>
    <row r="183" spans="1:11" x14ac:dyDescent="0.2">
      <c r="A183" s="531" t="s">
        <v>19</v>
      </c>
      <c r="B183" s="565" t="s">
        <v>19</v>
      </c>
      <c r="C183" s="506">
        <v>95897</v>
      </c>
      <c r="D183" s="505">
        <v>0.42499999999999999</v>
      </c>
      <c r="E183" s="504">
        <v>1</v>
      </c>
      <c r="F183" s="561">
        <v>12</v>
      </c>
      <c r="G183" s="503">
        <f>F183/12</f>
        <v>1</v>
      </c>
      <c r="H183" s="562">
        <f>ROUND(C183*(1+D183)*E183*G183,0)</f>
        <v>136653</v>
      </c>
      <c r="I183" s="563" t="s">
        <v>15</v>
      </c>
      <c r="J183" s="559"/>
      <c r="K183" s="576"/>
    </row>
    <row r="184" spans="1:11" x14ac:dyDescent="0.2">
      <c r="A184" s="531" t="s">
        <v>20</v>
      </c>
      <c r="B184" s="566" t="s">
        <v>20</v>
      </c>
      <c r="C184" s="502">
        <v>101651</v>
      </c>
      <c r="D184" s="501">
        <v>0.42499999999999999</v>
      </c>
      <c r="E184" s="500">
        <v>1</v>
      </c>
      <c r="F184" s="567">
        <v>12</v>
      </c>
      <c r="G184" s="499">
        <f>F184/12</f>
        <v>1</v>
      </c>
      <c r="H184" s="568">
        <f>ROUND(C184*(1+D184)*E184*G184,0)</f>
        <v>144853</v>
      </c>
      <c r="I184" s="569" t="s">
        <v>15</v>
      </c>
      <c r="J184" s="570"/>
      <c r="K184" s="576"/>
    </row>
    <row r="185" spans="1:11" ht="39" customHeight="1" x14ac:dyDescent="0.2">
      <c r="B185" s="1112" t="s">
        <v>74</v>
      </c>
      <c r="C185" s="1113"/>
      <c r="D185" s="1113"/>
      <c r="E185" s="1113"/>
      <c r="F185" s="1113"/>
      <c r="G185" s="1113"/>
      <c r="H185" s="1113"/>
      <c r="I185" s="1113"/>
      <c r="J185" s="1114"/>
      <c r="K185" s="577"/>
    </row>
    <row r="186" spans="1:11" ht="24" x14ac:dyDescent="0.2">
      <c r="A186" s="531" t="s">
        <v>13</v>
      </c>
      <c r="B186" s="566" t="s">
        <v>75</v>
      </c>
      <c r="C186" s="510">
        <v>80517</v>
      </c>
      <c r="D186" s="509">
        <v>0.42499999999999999</v>
      </c>
      <c r="E186" s="508">
        <v>1</v>
      </c>
      <c r="F186" s="572">
        <v>0</v>
      </c>
      <c r="G186" s="507">
        <f>F186/12</f>
        <v>0</v>
      </c>
      <c r="H186" s="573">
        <f>ROUND(C186*(1+D186)*E186*G186,0)</f>
        <v>0</v>
      </c>
      <c r="I186" s="574" t="s">
        <v>15</v>
      </c>
      <c r="J186" s="575" t="s">
        <v>73</v>
      </c>
      <c r="K186" s="576"/>
    </row>
    <row r="187" spans="1:11" x14ac:dyDescent="0.2">
      <c r="A187" s="531" t="s">
        <v>17</v>
      </c>
      <c r="B187" s="564" t="s">
        <v>17</v>
      </c>
      <c r="C187" s="506">
        <v>85348</v>
      </c>
      <c r="D187" s="505">
        <v>0.42499999999999999</v>
      </c>
      <c r="E187" s="504">
        <v>1</v>
      </c>
      <c r="F187" s="561">
        <v>4</v>
      </c>
      <c r="G187" s="503">
        <f>F187/12</f>
        <v>0.33333333333333331</v>
      </c>
      <c r="H187" s="562">
        <f>ROUND(C187*(1+D187)*E187*G187,0)</f>
        <v>40540</v>
      </c>
      <c r="I187" s="563" t="s">
        <v>15</v>
      </c>
      <c r="J187" s="559"/>
      <c r="K187" s="576"/>
    </row>
    <row r="188" spans="1:11" x14ac:dyDescent="0.2">
      <c r="A188" s="531" t="s">
        <v>18</v>
      </c>
      <c r="B188" s="565" t="s">
        <v>18</v>
      </c>
      <c r="C188" s="506">
        <v>90469</v>
      </c>
      <c r="D188" s="505">
        <v>0.42499999999999999</v>
      </c>
      <c r="E188" s="504">
        <v>1</v>
      </c>
      <c r="F188" s="561">
        <v>12</v>
      </c>
      <c r="G188" s="503">
        <f>F188/12</f>
        <v>1</v>
      </c>
      <c r="H188" s="562">
        <f>ROUND(C188*(1+D188)*E188*G188,0)</f>
        <v>128918</v>
      </c>
      <c r="I188" s="563" t="s">
        <v>15</v>
      </c>
      <c r="J188" s="559"/>
      <c r="K188" s="576"/>
    </row>
    <row r="189" spans="1:11" x14ac:dyDescent="0.2">
      <c r="A189" s="531" t="s">
        <v>19</v>
      </c>
      <c r="B189" s="565" t="s">
        <v>19</v>
      </c>
      <c r="C189" s="506">
        <v>95897</v>
      </c>
      <c r="D189" s="505">
        <v>0.42499999999999999</v>
      </c>
      <c r="E189" s="504">
        <v>1</v>
      </c>
      <c r="F189" s="561">
        <v>12</v>
      </c>
      <c r="G189" s="503">
        <f>F189/12</f>
        <v>1</v>
      </c>
      <c r="H189" s="562">
        <f>ROUND(C189*(1+D189)*E189*G189,0)</f>
        <v>136653</v>
      </c>
      <c r="I189" s="563" t="s">
        <v>15</v>
      </c>
      <c r="J189" s="559"/>
      <c r="K189" s="576"/>
    </row>
    <row r="190" spans="1:11" x14ac:dyDescent="0.2">
      <c r="A190" s="531" t="s">
        <v>20</v>
      </c>
      <c r="B190" s="566" t="s">
        <v>20</v>
      </c>
      <c r="C190" s="502">
        <v>101651</v>
      </c>
      <c r="D190" s="501">
        <v>0.42499999999999999</v>
      </c>
      <c r="E190" s="500">
        <v>1</v>
      </c>
      <c r="F190" s="567">
        <v>12</v>
      </c>
      <c r="G190" s="499">
        <f>F190/12</f>
        <v>1</v>
      </c>
      <c r="H190" s="568">
        <f>ROUND(C190*(1+D190)*E190*G190,0)</f>
        <v>144853</v>
      </c>
      <c r="I190" s="569" t="s">
        <v>15</v>
      </c>
      <c r="J190" s="570"/>
      <c r="K190" s="576"/>
    </row>
    <row r="191" spans="1:11" ht="36.75" customHeight="1" x14ac:dyDescent="0.2">
      <c r="B191" s="1112" t="s">
        <v>76</v>
      </c>
      <c r="C191" s="1113"/>
      <c r="D191" s="1113"/>
      <c r="E191" s="1113"/>
      <c r="F191" s="1113"/>
      <c r="G191" s="1113"/>
      <c r="H191" s="1113"/>
      <c r="I191" s="1113"/>
      <c r="J191" s="1114"/>
      <c r="K191" s="577"/>
    </row>
    <row r="192" spans="1:11" ht="36" x14ac:dyDescent="0.2">
      <c r="A192" s="531" t="s">
        <v>13</v>
      </c>
      <c r="B192" s="566" t="s">
        <v>77</v>
      </c>
      <c r="C192" s="510">
        <v>56264</v>
      </c>
      <c r="D192" s="509">
        <v>0.42499999999999999</v>
      </c>
      <c r="E192" s="508">
        <v>1</v>
      </c>
      <c r="F192" s="572">
        <v>9</v>
      </c>
      <c r="G192" s="507">
        <f>F192/12</f>
        <v>0.75</v>
      </c>
      <c r="H192" s="573">
        <f>ROUND(C192*(1+D192)*E192*G192,0)</f>
        <v>60132</v>
      </c>
      <c r="I192" s="574" t="s">
        <v>15</v>
      </c>
      <c r="J192" s="575" t="s">
        <v>23</v>
      </c>
      <c r="K192" s="576"/>
    </row>
    <row r="193" spans="1:11" x14ac:dyDescent="0.2">
      <c r="A193" s="531" t="s">
        <v>17</v>
      </c>
      <c r="B193" s="564" t="s">
        <v>17</v>
      </c>
      <c r="C193" s="506">
        <v>59640</v>
      </c>
      <c r="D193" s="505">
        <v>0.42499999999999999</v>
      </c>
      <c r="E193" s="504">
        <v>1</v>
      </c>
      <c r="F193" s="561">
        <v>12</v>
      </c>
      <c r="G193" s="503">
        <f>F193/12</f>
        <v>1</v>
      </c>
      <c r="H193" s="562">
        <f>ROUND(C193*(1+D193)*E193*G193,0)</f>
        <v>84987</v>
      </c>
      <c r="I193" s="563" t="s">
        <v>15</v>
      </c>
      <c r="J193" s="559"/>
      <c r="K193" s="576"/>
    </row>
    <row r="194" spans="1:11" x14ac:dyDescent="0.2">
      <c r="A194" s="531" t="s">
        <v>18</v>
      </c>
      <c r="B194" s="565" t="s">
        <v>18</v>
      </c>
      <c r="C194" s="506">
        <v>63218</v>
      </c>
      <c r="D194" s="505">
        <v>0.42499999999999999</v>
      </c>
      <c r="E194" s="504">
        <v>1</v>
      </c>
      <c r="F194" s="561">
        <v>12</v>
      </c>
      <c r="G194" s="503">
        <f>F194/12</f>
        <v>1</v>
      </c>
      <c r="H194" s="562">
        <f>ROUND(C194*(1+D194)*E194*G194,0)</f>
        <v>90086</v>
      </c>
      <c r="I194" s="563" t="s">
        <v>15</v>
      </c>
      <c r="J194" s="559"/>
      <c r="K194" s="576"/>
    </row>
    <row r="195" spans="1:11" x14ac:dyDescent="0.2">
      <c r="A195" s="531" t="s">
        <v>19</v>
      </c>
      <c r="B195" s="565" t="s">
        <v>19</v>
      </c>
      <c r="C195" s="506">
        <v>67011</v>
      </c>
      <c r="D195" s="505">
        <v>0.42499999999999999</v>
      </c>
      <c r="E195" s="504">
        <v>1</v>
      </c>
      <c r="F195" s="561">
        <v>12</v>
      </c>
      <c r="G195" s="503">
        <f>F195/12</f>
        <v>1</v>
      </c>
      <c r="H195" s="562">
        <f>ROUND(C195*(1+D195)*E195*G195,0)</f>
        <v>95491</v>
      </c>
      <c r="I195" s="563" t="s">
        <v>15</v>
      </c>
      <c r="J195" s="559"/>
      <c r="K195" s="576"/>
    </row>
    <row r="196" spans="1:11" x14ac:dyDescent="0.2">
      <c r="A196" s="531" t="s">
        <v>20</v>
      </c>
      <c r="B196" s="566" t="s">
        <v>20</v>
      </c>
      <c r="C196" s="502">
        <v>71032</v>
      </c>
      <c r="D196" s="501">
        <v>0.42499999999999999</v>
      </c>
      <c r="E196" s="500">
        <v>1</v>
      </c>
      <c r="F196" s="567">
        <v>12</v>
      </c>
      <c r="G196" s="499">
        <f>F196/12</f>
        <v>1</v>
      </c>
      <c r="H196" s="568">
        <f>ROUND(C196*(1+D196)*E196*G196,0)</f>
        <v>101221</v>
      </c>
      <c r="I196" s="569" t="s">
        <v>15</v>
      </c>
      <c r="J196" s="570"/>
      <c r="K196" s="576"/>
    </row>
    <row r="197" spans="1:11" ht="48.75" customHeight="1" x14ac:dyDescent="0.2">
      <c r="B197" s="1112" t="s">
        <v>78</v>
      </c>
      <c r="C197" s="1113"/>
      <c r="D197" s="1113"/>
      <c r="E197" s="1113"/>
      <c r="F197" s="1113"/>
      <c r="G197" s="1113"/>
      <c r="H197" s="1113"/>
      <c r="I197" s="1113"/>
      <c r="J197" s="1114"/>
      <c r="K197" s="577"/>
    </row>
    <row r="198" spans="1:11" ht="36" x14ac:dyDescent="0.2">
      <c r="A198" s="531" t="s">
        <v>13</v>
      </c>
      <c r="B198" s="566" t="s">
        <v>79</v>
      </c>
      <c r="C198" s="510">
        <v>78520</v>
      </c>
      <c r="D198" s="509">
        <v>0.42499999999999999</v>
      </c>
      <c r="E198" s="508">
        <v>1</v>
      </c>
      <c r="F198" s="572">
        <v>0</v>
      </c>
      <c r="G198" s="507">
        <f>F198/12</f>
        <v>0</v>
      </c>
      <c r="H198" s="573">
        <f>ROUND(C198*(1+D198)*E198*G198,0)</f>
        <v>0</v>
      </c>
      <c r="I198" s="574" t="s">
        <v>15</v>
      </c>
      <c r="J198" s="575" t="s">
        <v>16</v>
      </c>
      <c r="K198" s="576"/>
    </row>
    <row r="199" spans="1:11" x14ac:dyDescent="0.2">
      <c r="A199" s="531" t="s">
        <v>17</v>
      </c>
      <c r="B199" s="564" t="s">
        <v>17</v>
      </c>
      <c r="C199" s="506">
        <v>83231</v>
      </c>
      <c r="D199" s="505">
        <v>0.42499999999999999</v>
      </c>
      <c r="E199" s="504">
        <v>1</v>
      </c>
      <c r="F199" s="561">
        <v>6</v>
      </c>
      <c r="G199" s="503">
        <f>F199/12</f>
        <v>0.5</v>
      </c>
      <c r="H199" s="562">
        <f>ROUND(C199*(1+D199)*E199*G199,0)</f>
        <v>59302</v>
      </c>
      <c r="I199" s="563" t="s">
        <v>15</v>
      </c>
      <c r="J199" s="559"/>
      <c r="K199" s="576"/>
    </row>
    <row r="200" spans="1:11" x14ac:dyDescent="0.2">
      <c r="A200" s="531" t="s">
        <v>18</v>
      </c>
      <c r="B200" s="565" t="s">
        <v>18</v>
      </c>
      <c r="C200" s="506">
        <v>88225</v>
      </c>
      <c r="D200" s="505">
        <v>0.42499999999999999</v>
      </c>
      <c r="E200" s="504">
        <v>1</v>
      </c>
      <c r="F200" s="561">
        <v>12</v>
      </c>
      <c r="G200" s="503">
        <f>F200/12</f>
        <v>1</v>
      </c>
      <c r="H200" s="562">
        <f>ROUND(C200*(1+D200)*E200*G200,0)</f>
        <v>125721</v>
      </c>
      <c r="I200" s="563" t="s">
        <v>15</v>
      </c>
      <c r="J200" s="559"/>
      <c r="K200" s="576"/>
    </row>
    <row r="201" spans="1:11" x14ac:dyDescent="0.2">
      <c r="A201" s="531" t="s">
        <v>19</v>
      </c>
      <c r="B201" s="565" t="s">
        <v>19</v>
      </c>
      <c r="C201" s="506">
        <v>93519</v>
      </c>
      <c r="D201" s="505">
        <v>0.42499999999999999</v>
      </c>
      <c r="E201" s="504">
        <v>1</v>
      </c>
      <c r="F201" s="561">
        <v>12</v>
      </c>
      <c r="G201" s="503">
        <f>F201/12</f>
        <v>1</v>
      </c>
      <c r="H201" s="562">
        <f>ROUND(C201*(1+D201)*E201*G201,0)</f>
        <v>133265</v>
      </c>
      <c r="I201" s="563" t="s">
        <v>15</v>
      </c>
      <c r="J201" s="559"/>
      <c r="K201" s="576"/>
    </row>
    <row r="202" spans="1:11" x14ac:dyDescent="0.2">
      <c r="A202" s="531" t="s">
        <v>20</v>
      </c>
      <c r="B202" s="566" t="s">
        <v>20</v>
      </c>
      <c r="C202" s="502">
        <v>99130</v>
      </c>
      <c r="D202" s="501">
        <v>0.42499999999999999</v>
      </c>
      <c r="E202" s="500">
        <v>1</v>
      </c>
      <c r="F202" s="567">
        <v>12</v>
      </c>
      <c r="G202" s="499">
        <f>F202/12</f>
        <v>1</v>
      </c>
      <c r="H202" s="568">
        <f>ROUND(C202*(1+D202)*E202*G202,0)</f>
        <v>141260</v>
      </c>
      <c r="I202" s="569" t="s">
        <v>15</v>
      </c>
      <c r="J202" s="570"/>
      <c r="K202" s="576"/>
    </row>
    <row r="203" spans="1:11" ht="60" customHeight="1" x14ac:dyDescent="0.2">
      <c r="B203" s="1112" t="s">
        <v>78</v>
      </c>
      <c r="C203" s="1113"/>
      <c r="D203" s="1113"/>
      <c r="E203" s="1113"/>
      <c r="F203" s="1113"/>
      <c r="G203" s="1113"/>
      <c r="H203" s="1113"/>
      <c r="I203" s="1113"/>
      <c r="J203" s="1114"/>
      <c r="K203" s="577"/>
    </row>
    <row r="204" spans="1:11" ht="36" x14ac:dyDescent="0.2">
      <c r="A204" s="531" t="s">
        <v>13</v>
      </c>
      <c r="B204" s="566" t="s">
        <v>80</v>
      </c>
      <c r="C204" s="510">
        <v>76440</v>
      </c>
      <c r="D204" s="509">
        <v>0.42499999999999999</v>
      </c>
      <c r="E204" s="508">
        <v>1</v>
      </c>
      <c r="F204" s="572">
        <v>0</v>
      </c>
      <c r="G204" s="507">
        <f>F204/12</f>
        <v>0</v>
      </c>
      <c r="H204" s="573">
        <f>ROUND(C204*(1+D204)*E204*G204,0)</f>
        <v>0</v>
      </c>
      <c r="I204" s="574" t="s">
        <v>15</v>
      </c>
      <c r="J204" s="575" t="s">
        <v>16</v>
      </c>
      <c r="K204" s="576"/>
    </row>
    <row r="205" spans="1:11" x14ac:dyDescent="0.2">
      <c r="A205" s="531" t="s">
        <v>17</v>
      </c>
      <c r="B205" s="564" t="s">
        <v>17</v>
      </c>
      <c r="C205" s="506">
        <v>81026</v>
      </c>
      <c r="D205" s="505">
        <v>0.42499999999999999</v>
      </c>
      <c r="E205" s="504">
        <v>1</v>
      </c>
      <c r="F205" s="561">
        <v>6</v>
      </c>
      <c r="G205" s="503">
        <f>F205/12</f>
        <v>0.5</v>
      </c>
      <c r="H205" s="562">
        <f>ROUND(C205*(1+D205)*E205*G205,0)</f>
        <v>57731</v>
      </c>
      <c r="I205" s="563" t="s">
        <v>15</v>
      </c>
      <c r="J205" s="559"/>
      <c r="K205" s="576"/>
    </row>
    <row r="206" spans="1:11" x14ac:dyDescent="0.2">
      <c r="A206" s="531" t="s">
        <v>18</v>
      </c>
      <c r="B206" s="565" t="s">
        <v>18</v>
      </c>
      <c r="C206" s="506">
        <v>85888</v>
      </c>
      <c r="D206" s="505">
        <v>0.42499999999999999</v>
      </c>
      <c r="E206" s="504">
        <v>1</v>
      </c>
      <c r="F206" s="561">
        <v>12</v>
      </c>
      <c r="G206" s="503">
        <f>F206/12</f>
        <v>1</v>
      </c>
      <c r="H206" s="562">
        <f>ROUND(C206*(1+D206)*E206*G206,0)</f>
        <v>122390</v>
      </c>
      <c r="I206" s="563" t="s">
        <v>15</v>
      </c>
      <c r="J206" s="559"/>
      <c r="K206" s="576"/>
    </row>
    <row r="207" spans="1:11" x14ac:dyDescent="0.2">
      <c r="A207" s="531" t="s">
        <v>19</v>
      </c>
      <c r="B207" s="565" t="s">
        <v>19</v>
      </c>
      <c r="C207" s="506">
        <v>91041</v>
      </c>
      <c r="D207" s="505">
        <v>0.42499999999999999</v>
      </c>
      <c r="E207" s="504">
        <v>1</v>
      </c>
      <c r="F207" s="561">
        <v>12</v>
      </c>
      <c r="G207" s="503">
        <f>F207/12</f>
        <v>1</v>
      </c>
      <c r="H207" s="562">
        <f>ROUND(C207*(1+D207)*E207*G207,0)</f>
        <v>129733</v>
      </c>
      <c r="I207" s="563" t="s">
        <v>15</v>
      </c>
      <c r="J207" s="559"/>
      <c r="K207" s="576"/>
    </row>
    <row r="208" spans="1:11" x14ac:dyDescent="0.2">
      <c r="A208" s="531" t="s">
        <v>20</v>
      </c>
      <c r="B208" s="566" t="s">
        <v>20</v>
      </c>
      <c r="C208" s="502">
        <v>96504</v>
      </c>
      <c r="D208" s="501">
        <v>0.42499999999999999</v>
      </c>
      <c r="E208" s="500">
        <v>1</v>
      </c>
      <c r="F208" s="567">
        <v>12</v>
      </c>
      <c r="G208" s="499">
        <f>F208/12</f>
        <v>1</v>
      </c>
      <c r="H208" s="568">
        <f>ROUND(C208*(1+D208)*E208*G208,0)</f>
        <v>137518</v>
      </c>
      <c r="I208" s="569" t="s">
        <v>15</v>
      </c>
      <c r="J208" s="570"/>
      <c r="K208" s="576"/>
    </row>
    <row r="209" spans="1:11" ht="60" customHeight="1" x14ac:dyDescent="0.2">
      <c r="B209" s="1112" t="s">
        <v>78</v>
      </c>
      <c r="C209" s="1113"/>
      <c r="D209" s="1113"/>
      <c r="E209" s="1113"/>
      <c r="F209" s="1113"/>
      <c r="G209" s="1113"/>
      <c r="H209" s="1113"/>
      <c r="I209" s="1113"/>
      <c r="J209" s="1114"/>
      <c r="K209" s="577"/>
    </row>
    <row r="210" spans="1:11" ht="24" x14ac:dyDescent="0.2">
      <c r="A210" s="531" t="s">
        <v>13</v>
      </c>
      <c r="B210" s="566" t="s">
        <v>81</v>
      </c>
      <c r="C210" s="510">
        <v>48256</v>
      </c>
      <c r="D210" s="509">
        <v>0.42499999999999999</v>
      </c>
      <c r="E210" s="508">
        <v>1</v>
      </c>
      <c r="F210" s="572">
        <v>0</v>
      </c>
      <c r="G210" s="507">
        <f>F210/12</f>
        <v>0</v>
      </c>
      <c r="H210" s="573">
        <f>ROUND(C210*(1+D210)*E210*G210,0)</f>
        <v>0</v>
      </c>
      <c r="I210" s="574" t="s">
        <v>15</v>
      </c>
      <c r="J210" s="575" t="s">
        <v>23</v>
      </c>
      <c r="K210" s="603"/>
    </row>
    <row r="211" spans="1:11" x14ac:dyDescent="0.2">
      <c r="A211" s="531" t="s">
        <v>17</v>
      </c>
      <c r="B211" s="564" t="s">
        <v>17</v>
      </c>
      <c r="C211" s="506">
        <v>51151</v>
      </c>
      <c r="D211" s="505">
        <v>0.42499999999999999</v>
      </c>
      <c r="E211" s="504">
        <v>1</v>
      </c>
      <c r="F211" s="561">
        <v>4</v>
      </c>
      <c r="G211" s="503">
        <f>F211/12</f>
        <v>0.33333333333333331</v>
      </c>
      <c r="H211" s="562">
        <f>ROUND(C211*(1+D211)*E211*G211,0)</f>
        <v>24297</v>
      </c>
      <c r="I211" s="563" t="s">
        <v>15</v>
      </c>
      <c r="J211" s="559"/>
      <c r="K211" s="576"/>
    </row>
    <row r="212" spans="1:11" x14ac:dyDescent="0.2">
      <c r="A212" s="531" t="s">
        <v>18</v>
      </c>
      <c r="B212" s="565" t="s">
        <v>18</v>
      </c>
      <c r="C212" s="506">
        <v>54220</v>
      </c>
      <c r="D212" s="505">
        <v>0.42499999999999999</v>
      </c>
      <c r="E212" s="504">
        <v>1</v>
      </c>
      <c r="F212" s="561">
        <v>12</v>
      </c>
      <c r="G212" s="503">
        <f>F212/12</f>
        <v>1</v>
      </c>
      <c r="H212" s="562">
        <f>ROUND(C212*(1+D212)*E212*G212,0)</f>
        <v>77264</v>
      </c>
      <c r="I212" s="563" t="s">
        <v>15</v>
      </c>
      <c r="J212" s="559"/>
      <c r="K212" s="576"/>
    </row>
    <row r="213" spans="1:11" x14ac:dyDescent="0.2">
      <c r="A213" s="531" t="s">
        <v>19</v>
      </c>
      <c r="B213" s="565" t="s">
        <v>19</v>
      </c>
      <c r="C213" s="506">
        <v>57474</v>
      </c>
      <c r="D213" s="505">
        <v>0.42499999999999999</v>
      </c>
      <c r="E213" s="504">
        <v>1</v>
      </c>
      <c r="F213" s="561">
        <v>12</v>
      </c>
      <c r="G213" s="503">
        <f>F213/12</f>
        <v>1</v>
      </c>
      <c r="H213" s="562">
        <f>ROUND(C213*(1+D213)*E213*G213,0)</f>
        <v>81900</v>
      </c>
      <c r="I213" s="563" t="s">
        <v>15</v>
      </c>
      <c r="J213" s="559"/>
      <c r="K213" s="576"/>
    </row>
    <row r="214" spans="1:11" x14ac:dyDescent="0.2">
      <c r="A214" s="531" t="s">
        <v>20</v>
      </c>
      <c r="B214" s="566" t="s">
        <v>20</v>
      </c>
      <c r="C214" s="502">
        <v>60922</v>
      </c>
      <c r="D214" s="501">
        <v>0.42499999999999999</v>
      </c>
      <c r="E214" s="500">
        <v>1</v>
      </c>
      <c r="F214" s="567">
        <v>12</v>
      </c>
      <c r="G214" s="499">
        <f>F214/12</f>
        <v>1</v>
      </c>
      <c r="H214" s="568">
        <f>ROUND(C214*(1+D214)*E214*G214,0)</f>
        <v>86814</v>
      </c>
      <c r="I214" s="569" t="s">
        <v>15</v>
      </c>
      <c r="J214" s="570"/>
      <c r="K214" s="576"/>
    </row>
    <row r="215" spans="1:11" ht="90" customHeight="1" x14ac:dyDescent="0.2">
      <c r="B215" s="1112" t="s">
        <v>83</v>
      </c>
      <c r="C215" s="1113"/>
      <c r="D215" s="1113"/>
      <c r="E215" s="1113"/>
      <c r="F215" s="1113"/>
      <c r="G215" s="1113"/>
      <c r="H215" s="1113"/>
      <c r="I215" s="1113"/>
      <c r="J215" s="1114"/>
      <c r="K215" s="577"/>
    </row>
    <row r="216" spans="1:11" ht="24" x14ac:dyDescent="0.2">
      <c r="A216" s="531" t="s">
        <v>13</v>
      </c>
      <c r="B216" s="566" t="s">
        <v>84</v>
      </c>
      <c r="C216" s="510">
        <v>48256</v>
      </c>
      <c r="D216" s="509">
        <v>0.42499999999999999</v>
      </c>
      <c r="E216" s="508">
        <v>1</v>
      </c>
      <c r="F216" s="572">
        <v>0</v>
      </c>
      <c r="G216" s="507">
        <f>F216/12</f>
        <v>0</v>
      </c>
      <c r="H216" s="573">
        <f>ROUND(C216*(1+D216)*E216*G216,0)</f>
        <v>0</v>
      </c>
      <c r="I216" s="574" t="s">
        <v>15</v>
      </c>
      <c r="J216" s="575" t="s">
        <v>23</v>
      </c>
      <c r="K216" s="603"/>
    </row>
    <row r="217" spans="1:11" x14ac:dyDescent="0.2">
      <c r="A217" s="531" t="s">
        <v>17</v>
      </c>
      <c r="B217" s="564" t="s">
        <v>17</v>
      </c>
      <c r="C217" s="506">
        <v>51151</v>
      </c>
      <c r="D217" s="505">
        <v>0.42499999999999999</v>
      </c>
      <c r="E217" s="504">
        <v>1</v>
      </c>
      <c r="F217" s="561">
        <v>4</v>
      </c>
      <c r="G217" s="503">
        <f>F217/12</f>
        <v>0.33333333333333331</v>
      </c>
      <c r="H217" s="562">
        <f>ROUND(C217*(1+D217)*E217*G217,0)</f>
        <v>24297</v>
      </c>
      <c r="I217" s="563" t="s">
        <v>15</v>
      </c>
      <c r="J217" s="559"/>
      <c r="K217" s="576"/>
    </row>
    <row r="218" spans="1:11" x14ac:dyDescent="0.2">
      <c r="A218" s="531" t="s">
        <v>18</v>
      </c>
      <c r="B218" s="565" t="s">
        <v>18</v>
      </c>
      <c r="C218" s="506">
        <v>54220</v>
      </c>
      <c r="D218" s="505">
        <v>0.42499999999999999</v>
      </c>
      <c r="E218" s="504">
        <v>1</v>
      </c>
      <c r="F218" s="561">
        <v>12</v>
      </c>
      <c r="G218" s="503">
        <f>F218/12</f>
        <v>1</v>
      </c>
      <c r="H218" s="562">
        <f>ROUND(C218*(1+D218)*E218*G218,0)</f>
        <v>77264</v>
      </c>
      <c r="I218" s="563" t="s">
        <v>15</v>
      </c>
      <c r="J218" s="559"/>
      <c r="K218" s="576"/>
    </row>
    <row r="219" spans="1:11" x14ac:dyDescent="0.2">
      <c r="A219" s="531" t="s">
        <v>19</v>
      </c>
      <c r="B219" s="565" t="s">
        <v>19</v>
      </c>
      <c r="C219" s="506">
        <v>57474</v>
      </c>
      <c r="D219" s="505">
        <v>0.42499999999999999</v>
      </c>
      <c r="E219" s="504">
        <v>1</v>
      </c>
      <c r="F219" s="561">
        <v>12</v>
      </c>
      <c r="G219" s="503">
        <f>F219/12</f>
        <v>1</v>
      </c>
      <c r="H219" s="562">
        <f>ROUND(C219*(1+D219)*E219*G219,0)</f>
        <v>81900</v>
      </c>
      <c r="I219" s="563" t="s">
        <v>15</v>
      </c>
      <c r="J219" s="559"/>
      <c r="K219" s="576"/>
    </row>
    <row r="220" spans="1:11" x14ac:dyDescent="0.2">
      <c r="A220" s="531" t="s">
        <v>20</v>
      </c>
      <c r="B220" s="566" t="s">
        <v>20</v>
      </c>
      <c r="C220" s="502">
        <v>60922</v>
      </c>
      <c r="D220" s="501">
        <v>0.42499999999999999</v>
      </c>
      <c r="E220" s="500">
        <v>1</v>
      </c>
      <c r="F220" s="567">
        <v>12</v>
      </c>
      <c r="G220" s="499">
        <f>F220/12</f>
        <v>1</v>
      </c>
      <c r="H220" s="568">
        <f>ROUND(C220*(1+D220)*E220*G220,0)</f>
        <v>86814</v>
      </c>
      <c r="I220" s="569" t="s">
        <v>15</v>
      </c>
      <c r="J220" s="570"/>
      <c r="K220" s="576"/>
    </row>
    <row r="221" spans="1:11" ht="90" customHeight="1" x14ac:dyDescent="0.2">
      <c r="B221" s="1112" t="s">
        <v>83</v>
      </c>
      <c r="C221" s="1113"/>
      <c r="D221" s="1113"/>
      <c r="E221" s="1113"/>
      <c r="F221" s="1113"/>
      <c r="G221" s="1113"/>
      <c r="H221" s="1113"/>
      <c r="I221" s="1113"/>
      <c r="J221" s="1114"/>
      <c r="K221" s="577"/>
    </row>
    <row r="222" spans="1:11" ht="24" x14ac:dyDescent="0.2">
      <c r="A222" s="531" t="s">
        <v>13</v>
      </c>
      <c r="B222" s="566" t="s">
        <v>85</v>
      </c>
      <c r="C222" s="510">
        <v>48256</v>
      </c>
      <c r="D222" s="509">
        <v>0.42499999999999999</v>
      </c>
      <c r="E222" s="508">
        <v>1</v>
      </c>
      <c r="F222" s="572">
        <v>0</v>
      </c>
      <c r="G222" s="507">
        <f>F222/12</f>
        <v>0</v>
      </c>
      <c r="H222" s="573">
        <f>ROUND(C222*(1+D222)*E222*G222,0)</f>
        <v>0</v>
      </c>
      <c r="I222" s="574" t="s">
        <v>15</v>
      </c>
      <c r="J222" s="575" t="s">
        <v>23</v>
      </c>
      <c r="K222" s="603"/>
    </row>
    <row r="223" spans="1:11" x14ac:dyDescent="0.2">
      <c r="A223" s="531" t="s">
        <v>17</v>
      </c>
      <c r="B223" s="564" t="s">
        <v>17</v>
      </c>
      <c r="C223" s="506">
        <v>59640</v>
      </c>
      <c r="D223" s="505">
        <v>0.42499999999999999</v>
      </c>
      <c r="E223" s="504">
        <v>1</v>
      </c>
      <c r="F223" s="561">
        <v>4</v>
      </c>
      <c r="G223" s="503">
        <f>F223/12</f>
        <v>0.33333333333333331</v>
      </c>
      <c r="H223" s="562">
        <f>ROUND(C223*(1+D223)*E223*G223,0)</f>
        <v>28329</v>
      </c>
      <c r="I223" s="563" t="s">
        <v>15</v>
      </c>
      <c r="J223" s="559"/>
      <c r="K223" s="576"/>
    </row>
    <row r="224" spans="1:11" x14ac:dyDescent="0.2">
      <c r="A224" s="531" t="s">
        <v>18</v>
      </c>
      <c r="B224" s="565" t="s">
        <v>18</v>
      </c>
      <c r="C224" s="506">
        <v>63218</v>
      </c>
      <c r="D224" s="505">
        <v>0.42499999999999999</v>
      </c>
      <c r="E224" s="504">
        <v>1</v>
      </c>
      <c r="F224" s="561">
        <v>12</v>
      </c>
      <c r="G224" s="503">
        <f>F224/12</f>
        <v>1</v>
      </c>
      <c r="H224" s="562">
        <f>ROUND(C224*(1+D224)*E224*G224,0)</f>
        <v>90086</v>
      </c>
      <c r="I224" s="563" t="s">
        <v>15</v>
      </c>
      <c r="J224" s="559"/>
      <c r="K224" s="576"/>
    </row>
    <row r="225" spans="1:11" x14ac:dyDescent="0.2">
      <c r="A225" s="531" t="s">
        <v>19</v>
      </c>
      <c r="B225" s="565" t="s">
        <v>19</v>
      </c>
      <c r="C225" s="506">
        <v>67011</v>
      </c>
      <c r="D225" s="505">
        <v>0.42499999999999999</v>
      </c>
      <c r="E225" s="504">
        <v>1</v>
      </c>
      <c r="F225" s="561">
        <v>12</v>
      </c>
      <c r="G225" s="503">
        <f>F225/12</f>
        <v>1</v>
      </c>
      <c r="H225" s="562">
        <f>ROUND(C225*(1+D225)*E225*G225,0)</f>
        <v>95491</v>
      </c>
      <c r="I225" s="563" t="s">
        <v>15</v>
      </c>
      <c r="J225" s="559"/>
      <c r="K225" s="576"/>
    </row>
    <row r="226" spans="1:11" x14ac:dyDescent="0.2">
      <c r="A226" s="531" t="s">
        <v>20</v>
      </c>
      <c r="B226" s="566" t="s">
        <v>20</v>
      </c>
      <c r="C226" s="502">
        <v>71032</v>
      </c>
      <c r="D226" s="501">
        <v>0.42499999999999999</v>
      </c>
      <c r="E226" s="500">
        <v>1</v>
      </c>
      <c r="F226" s="567">
        <v>12</v>
      </c>
      <c r="G226" s="499">
        <f>F226/12</f>
        <v>1</v>
      </c>
      <c r="H226" s="568">
        <f>ROUND(C226*(1+D226)*E226*G226,0)</f>
        <v>101221</v>
      </c>
      <c r="I226" s="569" t="s">
        <v>15</v>
      </c>
      <c r="J226" s="570"/>
      <c r="K226" s="576"/>
    </row>
    <row r="227" spans="1:11" ht="90" customHeight="1" x14ac:dyDescent="0.2">
      <c r="B227" s="1112" t="s">
        <v>83</v>
      </c>
      <c r="C227" s="1113"/>
      <c r="D227" s="1113"/>
      <c r="E227" s="1113"/>
      <c r="F227" s="1113"/>
      <c r="G227" s="1113"/>
      <c r="H227" s="1113"/>
      <c r="I227" s="1113"/>
      <c r="J227" s="1114"/>
      <c r="K227" s="577"/>
    </row>
    <row r="228" spans="1:11" ht="24" x14ac:dyDescent="0.2">
      <c r="A228" s="531" t="s">
        <v>13</v>
      </c>
      <c r="B228" s="566" t="s">
        <v>86</v>
      </c>
      <c r="C228" s="510">
        <v>48256</v>
      </c>
      <c r="D228" s="509">
        <v>0.42499999999999999</v>
      </c>
      <c r="E228" s="508">
        <v>1</v>
      </c>
      <c r="F228" s="572">
        <v>0</v>
      </c>
      <c r="G228" s="507">
        <f>F228/12</f>
        <v>0</v>
      </c>
      <c r="H228" s="573">
        <f>ROUND(C228*(1+D228)*E228*G228,0)</f>
        <v>0</v>
      </c>
      <c r="I228" s="574" t="s">
        <v>15</v>
      </c>
      <c r="J228" s="575" t="s">
        <v>23</v>
      </c>
      <c r="K228" s="603"/>
    </row>
    <row r="229" spans="1:11" x14ac:dyDescent="0.2">
      <c r="A229" s="531" t="s">
        <v>17</v>
      </c>
      <c r="B229" s="564" t="s">
        <v>17</v>
      </c>
      <c r="C229" s="506">
        <v>51151</v>
      </c>
      <c r="D229" s="505">
        <v>0.42499999999999999</v>
      </c>
      <c r="E229" s="504">
        <v>1</v>
      </c>
      <c r="F229" s="561">
        <v>4</v>
      </c>
      <c r="G229" s="503">
        <f>F229/12</f>
        <v>0.33333333333333331</v>
      </c>
      <c r="H229" s="562">
        <f>ROUND(C229*(1+D229)*E229*G229,0)</f>
        <v>24297</v>
      </c>
      <c r="I229" s="563" t="s">
        <v>15</v>
      </c>
      <c r="J229" s="559"/>
      <c r="K229" s="576"/>
    </row>
    <row r="230" spans="1:11" x14ac:dyDescent="0.2">
      <c r="A230" s="531" t="s">
        <v>18</v>
      </c>
      <c r="B230" s="565" t="s">
        <v>18</v>
      </c>
      <c r="C230" s="506">
        <v>54220</v>
      </c>
      <c r="D230" s="505">
        <v>0.42499999999999999</v>
      </c>
      <c r="E230" s="504">
        <v>1</v>
      </c>
      <c r="F230" s="561">
        <v>12</v>
      </c>
      <c r="G230" s="503">
        <f>F230/12</f>
        <v>1</v>
      </c>
      <c r="H230" s="562">
        <f>ROUND(C230*(1+D230)*E230*G230,0)</f>
        <v>77264</v>
      </c>
      <c r="I230" s="563" t="s">
        <v>15</v>
      </c>
      <c r="J230" s="559"/>
      <c r="K230" s="576"/>
    </row>
    <row r="231" spans="1:11" x14ac:dyDescent="0.2">
      <c r="A231" s="531" t="s">
        <v>19</v>
      </c>
      <c r="B231" s="565" t="s">
        <v>19</v>
      </c>
      <c r="C231" s="506">
        <v>57474</v>
      </c>
      <c r="D231" s="505">
        <v>0.42499999999999999</v>
      </c>
      <c r="E231" s="504">
        <v>1</v>
      </c>
      <c r="F231" s="561">
        <v>12</v>
      </c>
      <c r="G231" s="503">
        <f>F231/12</f>
        <v>1</v>
      </c>
      <c r="H231" s="562">
        <f>ROUND(C231*(1+D231)*E231*G231,0)</f>
        <v>81900</v>
      </c>
      <c r="I231" s="563" t="s">
        <v>15</v>
      </c>
      <c r="J231" s="559"/>
      <c r="K231" s="576"/>
    </row>
    <row r="232" spans="1:11" x14ac:dyDescent="0.2">
      <c r="A232" s="531" t="s">
        <v>20</v>
      </c>
      <c r="B232" s="566" t="s">
        <v>20</v>
      </c>
      <c r="C232" s="502">
        <v>60922</v>
      </c>
      <c r="D232" s="501">
        <v>0.42499999999999999</v>
      </c>
      <c r="E232" s="500">
        <v>1</v>
      </c>
      <c r="F232" s="567">
        <v>12</v>
      </c>
      <c r="G232" s="499">
        <f>F232/12</f>
        <v>1</v>
      </c>
      <c r="H232" s="568">
        <f>ROUND(C232*(1+D232)*E232*G232,0)</f>
        <v>86814</v>
      </c>
      <c r="I232" s="569" t="s">
        <v>15</v>
      </c>
      <c r="J232" s="570"/>
      <c r="K232" s="576"/>
    </row>
    <row r="233" spans="1:11" ht="90" customHeight="1" x14ac:dyDescent="0.2">
      <c r="B233" s="1112" t="s">
        <v>83</v>
      </c>
      <c r="C233" s="1113"/>
      <c r="D233" s="1113"/>
      <c r="E233" s="1113"/>
      <c r="F233" s="1113"/>
      <c r="G233" s="1113"/>
      <c r="H233" s="1113"/>
      <c r="I233" s="1113"/>
      <c r="J233" s="1114"/>
      <c r="K233" s="577"/>
    </row>
    <row r="234" spans="1:11" ht="24" x14ac:dyDescent="0.2">
      <c r="A234" s="531" t="s">
        <v>13</v>
      </c>
      <c r="B234" s="566" t="s">
        <v>87</v>
      </c>
      <c r="C234" s="510">
        <v>48256</v>
      </c>
      <c r="D234" s="509">
        <v>0.42499999999999999</v>
      </c>
      <c r="E234" s="508">
        <v>1</v>
      </c>
      <c r="F234" s="572">
        <v>0</v>
      </c>
      <c r="G234" s="507">
        <f>F234/12</f>
        <v>0</v>
      </c>
      <c r="H234" s="573">
        <f>ROUND(C234*(1+D234)*E234*G234,0)</f>
        <v>0</v>
      </c>
      <c r="I234" s="574" t="s">
        <v>15</v>
      </c>
      <c r="J234" s="575" t="s">
        <v>23</v>
      </c>
      <c r="K234" s="603"/>
    </row>
    <row r="235" spans="1:11" x14ac:dyDescent="0.2">
      <c r="A235" s="531" t="s">
        <v>17</v>
      </c>
      <c r="B235" s="564" t="s">
        <v>17</v>
      </c>
      <c r="C235" s="506">
        <v>51151</v>
      </c>
      <c r="D235" s="505">
        <v>0.42499999999999999</v>
      </c>
      <c r="E235" s="504">
        <v>1</v>
      </c>
      <c r="F235" s="561">
        <v>4</v>
      </c>
      <c r="G235" s="503">
        <f>F235/12</f>
        <v>0.33333333333333331</v>
      </c>
      <c r="H235" s="562">
        <f>ROUND(C235*(1+D235)*E235*G235,0)</f>
        <v>24297</v>
      </c>
      <c r="I235" s="563" t="s">
        <v>15</v>
      </c>
      <c r="J235" s="559"/>
      <c r="K235" s="576"/>
    </row>
    <row r="236" spans="1:11" x14ac:dyDescent="0.2">
      <c r="A236" s="531" t="s">
        <v>18</v>
      </c>
      <c r="B236" s="565" t="s">
        <v>18</v>
      </c>
      <c r="C236" s="506">
        <v>54220</v>
      </c>
      <c r="D236" s="505">
        <v>0.42499999999999999</v>
      </c>
      <c r="E236" s="504">
        <v>1</v>
      </c>
      <c r="F236" s="561">
        <v>12</v>
      </c>
      <c r="G236" s="503">
        <f>F236/12</f>
        <v>1</v>
      </c>
      <c r="H236" s="562">
        <f>ROUND(C236*(1+D236)*E236*G236,0)</f>
        <v>77264</v>
      </c>
      <c r="I236" s="563" t="s">
        <v>15</v>
      </c>
      <c r="J236" s="559"/>
      <c r="K236" s="576"/>
    </row>
    <row r="237" spans="1:11" x14ac:dyDescent="0.2">
      <c r="A237" s="531" t="s">
        <v>19</v>
      </c>
      <c r="B237" s="565" t="s">
        <v>19</v>
      </c>
      <c r="C237" s="506">
        <v>57474</v>
      </c>
      <c r="D237" s="505">
        <v>0.42499999999999999</v>
      </c>
      <c r="E237" s="504">
        <v>1</v>
      </c>
      <c r="F237" s="561">
        <v>12</v>
      </c>
      <c r="G237" s="503">
        <f>F237/12</f>
        <v>1</v>
      </c>
      <c r="H237" s="562">
        <f>ROUND(C237*(1+D237)*E237*G237,0)</f>
        <v>81900</v>
      </c>
      <c r="I237" s="563" t="s">
        <v>15</v>
      </c>
      <c r="J237" s="559"/>
      <c r="K237" s="576"/>
    </row>
    <row r="238" spans="1:11" x14ac:dyDescent="0.2">
      <c r="A238" s="531" t="s">
        <v>20</v>
      </c>
      <c r="B238" s="566" t="s">
        <v>20</v>
      </c>
      <c r="C238" s="502">
        <v>60922</v>
      </c>
      <c r="D238" s="501">
        <v>0.42499999999999999</v>
      </c>
      <c r="E238" s="500">
        <v>1</v>
      </c>
      <c r="F238" s="567">
        <v>12</v>
      </c>
      <c r="G238" s="499">
        <f>F238/12</f>
        <v>1</v>
      </c>
      <c r="H238" s="568">
        <f>ROUND(C238*(1+D238)*E238*G238,0)</f>
        <v>86814</v>
      </c>
      <c r="I238" s="569" t="s">
        <v>15</v>
      </c>
      <c r="J238" s="570"/>
      <c r="K238" s="576"/>
    </row>
    <row r="239" spans="1:11" ht="90" customHeight="1" x14ac:dyDescent="0.2">
      <c r="B239" s="1112" t="s">
        <v>83</v>
      </c>
      <c r="C239" s="1113"/>
      <c r="D239" s="1113"/>
      <c r="E239" s="1113"/>
      <c r="F239" s="1113"/>
      <c r="G239" s="1113"/>
      <c r="H239" s="1113"/>
      <c r="I239" s="1113"/>
      <c r="J239" s="1114"/>
      <c r="K239" s="577"/>
    </row>
    <row r="240" spans="1:11" ht="24" x14ac:dyDescent="0.2">
      <c r="A240" s="531" t="s">
        <v>13</v>
      </c>
      <c r="B240" s="566" t="s">
        <v>88</v>
      </c>
      <c r="C240" s="510">
        <v>48256</v>
      </c>
      <c r="D240" s="509">
        <v>0.42499999999999999</v>
      </c>
      <c r="E240" s="508">
        <v>1</v>
      </c>
      <c r="F240" s="572">
        <v>0</v>
      </c>
      <c r="G240" s="507">
        <f>F240/12</f>
        <v>0</v>
      </c>
      <c r="H240" s="573">
        <f>ROUND(C240*(1+D240)*E240*G240,0)</f>
        <v>0</v>
      </c>
      <c r="I240" s="574" t="s">
        <v>15</v>
      </c>
      <c r="J240" s="575" t="s">
        <v>23</v>
      </c>
      <c r="K240" s="603"/>
    </row>
    <row r="241" spans="1:11" x14ac:dyDescent="0.2">
      <c r="A241" s="531" t="s">
        <v>17</v>
      </c>
      <c r="B241" s="564" t="s">
        <v>17</v>
      </c>
      <c r="C241" s="506">
        <v>59640</v>
      </c>
      <c r="D241" s="505">
        <v>0.42499999999999999</v>
      </c>
      <c r="E241" s="504">
        <v>1</v>
      </c>
      <c r="F241" s="561">
        <v>4</v>
      </c>
      <c r="G241" s="503">
        <f>F241/12</f>
        <v>0.33333333333333331</v>
      </c>
      <c r="H241" s="562">
        <f>ROUND(C241*(1+D241)*E241*G241,0)</f>
        <v>28329</v>
      </c>
      <c r="I241" s="563" t="s">
        <v>15</v>
      </c>
      <c r="J241" s="559"/>
      <c r="K241" s="576"/>
    </row>
    <row r="242" spans="1:11" x14ac:dyDescent="0.2">
      <c r="A242" s="531" t="s">
        <v>18</v>
      </c>
      <c r="B242" s="565" t="s">
        <v>18</v>
      </c>
      <c r="C242" s="506">
        <v>63218</v>
      </c>
      <c r="D242" s="505">
        <v>0.42499999999999999</v>
      </c>
      <c r="E242" s="504">
        <v>1</v>
      </c>
      <c r="F242" s="561">
        <v>12</v>
      </c>
      <c r="G242" s="503">
        <f>F242/12</f>
        <v>1</v>
      </c>
      <c r="H242" s="562">
        <f>ROUND(C242*(1+D242)*E242*G242,0)</f>
        <v>90086</v>
      </c>
      <c r="I242" s="563" t="s">
        <v>15</v>
      </c>
      <c r="J242" s="559"/>
      <c r="K242" s="576"/>
    </row>
    <row r="243" spans="1:11" x14ac:dyDescent="0.2">
      <c r="A243" s="531" t="s">
        <v>19</v>
      </c>
      <c r="B243" s="565" t="s">
        <v>19</v>
      </c>
      <c r="C243" s="506">
        <v>67011</v>
      </c>
      <c r="D243" s="505">
        <v>0.42499999999999999</v>
      </c>
      <c r="E243" s="504">
        <v>1</v>
      </c>
      <c r="F243" s="561">
        <v>12</v>
      </c>
      <c r="G243" s="503">
        <f>F243/12</f>
        <v>1</v>
      </c>
      <c r="H243" s="562">
        <f>ROUND(C243*(1+D243)*E243*G243,0)</f>
        <v>95491</v>
      </c>
      <c r="I243" s="563" t="s">
        <v>15</v>
      </c>
      <c r="J243" s="559"/>
      <c r="K243" s="576"/>
    </row>
    <row r="244" spans="1:11" x14ac:dyDescent="0.2">
      <c r="A244" s="531" t="s">
        <v>20</v>
      </c>
      <c r="B244" s="566" t="s">
        <v>20</v>
      </c>
      <c r="C244" s="502">
        <v>71032</v>
      </c>
      <c r="D244" s="501">
        <v>0.42499999999999999</v>
      </c>
      <c r="E244" s="500">
        <v>1</v>
      </c>
      <c r="F244" s="567">
        <v>12</v>
      </c>
      <c r="G244" s="499">
        <f>F244/12</f>
        <v>1</v>
      </c>
      <c r="H244" s="568">
        <f>ROUND(C244*(1+D244)*E244*G244,0)</f>
        <v>101221</v>
      </c>
      <c r="I244" s="569" t="s">
        <v>15</v>
      </c>
      <c r="J244" s="570"/>
      <c r="K244" s="576"/>
    </row>
    <row r="245" spans="1:11" ht="90" customHeight="1" x14ac:dyDescent="0.2">
      <c r="B245" s="1112" t="s">
        <v>83</v>
      </c>
      <c r="C245" s="1113"/>
      <c r="D245" s="1113"/>
      <c r="E245" s="1113"/>
      <c r="F245" s="1113"/>
      <c r="G245" s="1113"/>
      <c r="H245" s="1113"/>
      <c r="I245" s="1113"/>
      <c r="J245" s="1114"/>
      <c r="K245" s="577"/>
    </row>
    <row r="246" spans="1:11" ht="24" x14ac:dyDescent="0.2">
      <c r="A246" s="531" t="s">
        <v>13</v>
      </c>
      <c r="B246" s="566" t="s">
        <v>89</v>
      </c>
      <c r="C246" s="510">
        <v>48256</v>
      </c>
      <c r="D246" s="509">
        <v>0.42499999999999999</v>
      </c>
      <c r="E246" s="508">
        <v>1</v>
      </c>
      <c r="F246" s="572">
        <v>0</v>
      </c>
      <c r="G246" s="507">
        <f>F246/12</f>
        <v>0</v>
      </c>
      <c r="H246" s="573">
        <f>ROUND(C246*(1+D246)*E246*G246,0)</f>
        <v>0</v>
      </c>
      <c r="I246" s="574" t="s">
        <v>15</v>
      </c>
      <c r="J246" s="575" t="s">
        <v>23</v>
      </c>
      <c r="K246" s="603"/>
    </row>
    <row r="247" spans="1:11" x14ac:dyDescent="0.2">
      <c r="A247" s="531" t="s">
        <v>17</v>
      </c>
      <c r="B247" s="564" t="s">
        <v>17</v>
      </c>
      <c r="C247" s="506">
        <v>59640</v>
      </c>
      <c r="D247" s="505">
        <v>0.42499999999999999</v>
      </c>
      <c r="E247" s="504">
        <v>1</v>
      </c>
      <c r="F247" s="561">
        <v>4</v>
      </c>
      <c r="G247" s="503">
        <f>F247/12</f>
        <v>0.33333333333333331</v>
      </c>
      <c r="H247" s="562">
        <f>ROUND(C247*(1+D247)*E247*G247,0)</f>
        <v>28329</v>
      </c>
      <c r="I247" s="563" t="s">
        <v>15</v>
      </c>
      <c r="J247" s="559"/>
      <c r="K247" s="576"/>
    </row>
    <row r="248" spans="1:11" x14ac:dyDescent="0.2">
      <c r="A248" s="531" t="s">
        <v>18</v>
      </c>
      <c r="B248" s="565" t="s">
        <v>18</v>
      </c>
      <c r="C248" s="506">
        <v>63218</v>
      </c>
      <c r="D248" s="505">
        <v>0.42499999999999999</v>
      </c>
      <c r="E248" s="504">
        <v>1</v>
      </c>
      <c r="F248" s="561">
        <v>12</v>
      </c>
      <c r="G248" s="503">
        <f>F248/12</f>
        <v>1</v>
      </c>
      <c r="H248" s="562">
        <f>ROUND(C248*(1+D248)*E248*G248,0)</f>
        <v>90086</v>
      </c>
      <c r="I248" s="563" t="s">
        <v>15</v>
      </c>
      <c r="J248" s="559"/>
      <c r="K248" s="576"/>
    </row>
    <row r="249" spans="1:11" x14ac:dyDescent="0.2">
      <c r="A249" s="531" t="s">
        <v>19</v>
      </c>
      <c r="B249" s="565" t="s">
        <v>19</v>
      </c>
      <c r="C249" s="506">
        <v>67011</v>
      </c>
      <c r="D249" s="505">
        <v>0.42499999999999999</v>
      </c>
      <c r="E249" s="504">
        <v>1</v>
      </c>
      <c r="F249" s="561">
        <v>12</v>
      </c>
      <c r="G249" s="503">
        <f>F249/12</f>
        <v>1</v>
      </c>
      <c r="H249" s="562">
        <f>ROUND(C249*(1+D249)*E249*G249,0)</f>
        <v>95491</v>
      </c>
      <c r="I249" s="563" t="s">
        <v>15</v>
      </c>
      <c r="J249" s="559"/>
      <c r="K249" s="576"/>
    </row>
    <row r="250" spans="1:11" x14ac:dyDescent="0.2">
      <c r="A250" s="531" t="s">
        <v>20</v>
      </c>
      <c r="B250" s="566" t="s">
        <v>20</v>
      </c>
      <c r="C250" s="502">
        <v>71032</v>
      </c>
      <c r="D250" s="501">
        <v>0.42499999999999999</v>
      </c>
      <c r="E250" s="500">
        <v>1</v>
      </c>
      <c r="F250" s="567">
        <v>12</v>
      </c>
      <c r="G250" s="499">
        <f>F250/12</f>
        <v>1</v>
      </c>
      <c r="H250" s="568">
        <f>ROUND(C250*(1+D250)*E250*G250,0)</f>
        <v>101221</v>
      </c>
      <c r="I250" s="569" t="s">
        <v>15</v>
      </c>
      <c r="J250" s="570"/>
      <c r="K250" s="576"/>
    </row>
    <row r="251" spans="1:11" ht="90" customHeight="1" x14ac:dyDescent="0.2">
      <c r="B251" s="1112" t="s">
        <v>83</v>
      </c>
      <c r="C251" s="1113"/>
      <c r="D251" s="1113"/>
      <c r="E251" s="1113"/>
      <c r="F251" s="1113"/>
      <c r="G251" s="1113"/>
      <c r="H251" s="1113"/>
      <c r="I251" s="1113"/>
      <c r="J251" s="1114"/>
      <c r="K251" s="577"/>
    </row>
    <row r="252" spans="1:11" ht="24" x14ac:dyDescent="0.2">
      <c r="A252" s="531" t="s">
        <v>13</v>
      </c>
      <c r="B252" s="566" t="s">
        <v>90</v>
      </c>
      <c r="C252" s="510">
        <v>70844.800000000003</v>
      </c>
      <c r="D252" s="509">
        <v>0.42499999999999999</v>
      </c>
      <c r="E252" s="508">
        <v>0.31</v>
      </c>
      <c r="F252" s="572">
        <v>0</v>
      </c>
      <c r="G252" s="507">
        <f>F252/12</f>
        <v>0</v>
      </c>
      <c r="H252" s="573">
        <f>ROUND(C252*(1+D252)*E252*G252,0)</f>
        <v>0</v>
      </c>
      <c r="I252" s="574" t="s">
        <v>15</v>
      </c>
      <c r="J252" s="575" t="s">
        <v>16</v>
      </c>
      <c r="K252" s="576"/>
    </row>
    <row r="253" spans="1:11" x14ac:dyDescent="0.2">
      <c r="A253" s="531" t="s">
        <v>17</v>
      </c>
      <c r="B253" s="564" t="s">
        <v>17</v>
      </c>
      <c r="C253" s="506">
        <v>75095</v>
      </c>
      <c r="D253" s="505">
        <v>0.42499999999999999</v>
      </c>
      <c r="E253" s="504">
        <v>0.31</v>
      </c>
      <c r="F253" s="561">
        <v>12</v>
      </c>
      <c r="G253" s="503">
        <f>F253/12</f>
        <v>1</v>
      </c>
      <c r="H253" s="562">
        <f>ROUND(C253*(1+D253)*E253*G253,0)</f>
        <v>33173</v>
      </c>
      <c r="I253" s="563" t="s">
        <v>15</v>
      </c>
      <c r="J253" s="559"/>
      <c r="K253" s="576"/>
    </row>
    <row r="254" spans="1:11" x14ac:dyDescent="0.2">
      <c r="A254" s="531" t="s">
        <v>18</v>
      </c>
      <c r="B254" s="565" t="s">
        <v>18</v>
      </c>
      <c r="C254" s="506">
        <v>79601</v>
      </c>
      <c r="D254" s="505">
        <v>0.42499999999999999</v>
      </c>
      <c r="E254" s="504">
        <v>0.31</v>
      </c>
      <c r="F254" s="561">
        <v>12</v>
      </c>
      <c r="G254" s="503">
        <f>F254/12</f>
        <v>1</v>
      </c>
      <c r="H254" s="562">
        <f>ROUND(C254*(1+D254)*E254*G254,0)</f>
        <v>35164</v>
      </c>
      <c r="I254" s="563" t="s">
        <v>15</v>
      </c>
      <c r="J254" s="559"/>
      <c r="K254" s="576"/>
    </row>
    <row r="255" spans="1:11" x14ac:dyDescent="0.2">
      <c r="A255" s="531" t="s">
        <v>19</v>
      </c>
      <c r="B255" s="565" t="s">
        <v>19</v>
      </c>
      <c r="C255" s="506">
        <v>84377</v>
      </c>
      <c r="D255" s="505">
        <v>0.42499999999999999</v>
      </c>
      <c r="E255" s="504">
        <v>0.31</v>
      </c>
      <c r="F255" s="561">
        <v>12</v>
      </c>
      <c r="G255" s="503">
        <f>F255/12</f>
        <v>1</v>
      </c>
      <c r="H255" s="562">
        <f>ROUND(C255*(1+D255)*E255*G255,0)</f>
        <v>37274</v>
      </c>
      <c r="I255" s="563" t="s">
        <v>15</v>
      </c>
      <c r="J255" s="559"/>
      <c r="K255" s="576"/>
    </row>
    <row r="256" spans="1:11" x14ac:dyDescent="0.2">
      <c r="A256" s="531" t="s">
        <v>20</v>
      </c>
      <c r="B256" s="566" t="s">
        <v>20</v>
      </c>
      <c r="C256" s="502">
        <v>89440</v>
      </c>
      <c r="D256" s="501">
        <v>0.42499999999999999</v>
      </c>
      <c r="E256" s="500">
        <v>0.31</v>
      </c>
      <c r="F256" s="567">
        <v>12</v>
      </c>
      <c r="G256" s="499">
        <f>F256/12</f>
        <v>1</v>
      </c>
      <c r="H256" s="568">
        <f>ROUND(C256*(1+D256)*E256*G256,0)</f>
        <v>39510</v>
      </c>
      <c r="I256" s="569" t="s">
        <v>15</v>
      </c>
      <c r="J256" s="570"/>
      <c r="K256" s="576"/>
    </row>
    <row r="257" spans="1:11" ht="39.950000000000003" customHeight="1" x14ac:dyDescent="0.2">
      <c r="B257" s="1112" t="s">
        <v>91</v>
      </c>
      <c r="C257" s="1113"/>
      <c r="D257" s="1113"/>
      <c r="E257" s="1113"/>
      <c r="F257" s="1113"/>
      <c r="G257" s="1113"/>
      <c r="H257" s="1113"/>
      <c r="I257" s="1113"/>
      <c r="J257" s="1114"/>
      <c r="K257" s="577"/>
    </row>
    <row r="258" spans="1:11" ht="24" x14ac:dyDescent="0.2">
      <c r="A258" s="531" t="s">
        <v>13</v>
      </c>
      <c r="B258" s="566" t="s">
        <v>92</v>
      </c>
      <c r="C258" s="510">
        <v>82618</v>
      </c>
      <c r="D258" s="509">
        <v>0.42499999999999999</v>
      </c>
      <c r="E258" s="508">
        <v>1</v>
      </c>
      <c r="F258" s="572">
        <v>9</v>
      </c>
      <c r="G258" s="507">
        <f>F258/12</f>
        <v>0.75</v>
      </c>
      <c r="H258" s="573">
        <f>ROUND(C258*(1+D258)*E258*G258,0)</f>
        <v>88298</v>
      </c>
      <c r="I258" s="574" t="s">
        <v>15</v>
      </c>
      <c r="J258" s="575" t="s">
        <v>73</v>
      </c>
      <c r="K258" s="576"/>
    </row>
    <row r="259" spans="1:11" x14ac:dyDescent="0.2">
      <c r="A259" s="531" t="s">
        <v>17</v>
      </c>
      <c r="B259" s="564" t="s">
        <v>17</v>
      </c>
      <c r="C259" s="506">
        <v>87575</v>
      </c>
      <c r="D259" s="505">
        <v>0.42499999999999999</v>
      </c>
      <c r="E259" s="504">
        <v>1</v>
      </c>
      <c r="F259" s="561">
        <v>12</v>
      </c>
      <c r="G259" s="503">
        <f>F259/12</f>
        <v>1</v>
      </c>
      <c r="H259" s="562">
        <f>ROUND(C259*(1+D259)*E259*G259,0)</f>
        <v>124794</v>
      </c>
      <c r="I259" s="563" t="s">
        <v>15</v>
      </c>
      <c r="J259" s="559"/>
      <c r="K259" s="576"/>
    </row>
    <row r="260" spans="1:11" x14ac:dyDescent="0.2">
      <c r="A260" s="531" t="s">
        <v>18</v>
      </c>
      <c r="B260" s="565" t="s">
        <v>18</v>
      </c>
      <c r="C260" s="506">
        <v>92829</v>
      </c>
      <c r="D260" s="505">
        <v>0.42499999999999999</v>
      </c>
      <c r="E260" s="504">
        <v>1</v>
      </c>
      <c r="F260" s="561">
        <v>12</v>
      </c>
      <c r="G260" s="503">
        <f>F260/12</f>
        <v>1</v>
      </c>
      <c r="H260" s="562">
        <f>ROUND(C260*(1+D260)*E260*G260,0)</f>
        <v>132281</v>
      </c>
      <c r="I260" s="563" t="s">
        <v>15</v>
      </c>
      <c r="J260" s="559"/>
      <c r="K260" s="576"/>
    </row>
    <row r="261" spans="1:11" x14ac:dyDescent="0.2">
      <c r="A261" s="531" t="s">
        <v>19</v>
      </c>
      <c r="B261" s="565" t="s">
        <v>19</v>
      </c>
      <c r="C261" s="506">
        <v>98399</v>
      </c>
      <c r="D261" s="505">
        <v>0.42499999999999999</v>
      </c>
      <c r="E261" s="504">
        <v>1</v>
      </c>
      <c r="F261" s="561">
        <v>12</v>
      </c>
      <c r="G261" s="503">
        <f>F261/12</f>
        <v>1</v>
      </c>
      <c r="H261" s="562">
        <f>ROUND(C261*(1+D261)*E261*G261,0)</f>
        <v>140219</v>
      </c>
      <c r="I261" s="563" t="s">
        <v>15</v>
      </c>
      <c r="J261" s="559"/>
      <c r="K261" s="576"/>
    </row>
    <row r="262" spans="1:11" x14ac:dyDescent="0.2">
      <c r="A262" s="531" t="s">
        <v>20</v>
      </c>
      <c r="B262" s="566" t="s">
        <v>20</v>
      </c>
      <c r="C262" s="502">
        <v>104303</v>
      </c>
      <c r="D262" s="501">
        <v>0.42499999999999999</v>
      </c>
      <c r="E262" s="500">
        <v>1</v>
      </c>
      <c r="F262" s="567">
        <v>12</v>
      </c>
      <c r="G262" s="499">
        <f>F262/12</f>
        <v>1</v>
      </c>
      <c r="H262" s="568">
        <f>ROUND(C262*(1+D262)*E262*G262,0)</f>
        <v>148632</v>
      </c>
      <c r="I262" s="569" t="s">
        <v>15</v>
      </c>
      <c r="J262" s="570"/>
      <c r="K262" s="576"/>
    </row>
    <row r="263" spans="1:11" ht="30" customHeight="1" x14ac:dyDescent="0.2">
      <c r="B263" s="1112" t="s">
        <v>93</v>
      </c>
      <c r="C263" s="1113"/>
      <c r="D263" s="1113"/>
      <c r="E263" s="1113"/>
      <c r="F263" s="1113"/>
      <c r="G263" s="1113"/>
      <c r="H263" s="1113"/>
      <c r="I263" s="1113"/>
      <c r="J263" s="1114"/>
      <c r="K263" s="577"/>
    </row>
    <row r="264" spans="1:11" ht="24" x14ac:dyDescent="0.2">
      <c r="A264" s="531" t="s">
        <v>13</v>
      </c>
      <c r="B264" s="566" t="s">
        <v>94</v>
      </c>
      <c r="C264" s="510">
        <v>62338</v>
      </c>
      <c r="D264" s="509">
        <v>0.42499999999999999</v>
      </c>
      <c r="E264" s="508">
        <v>1</v>
      </c>
      <c r="F264" s="572">
        <v>9</v>
      </c>
      <c r="G264" s="507">
        <f>F264/12</f>
        <v>0.75</v>
      </c>
      <c r="H264" s="573">
        <f>ROUND(C264*(1+D264)*E264*G264,0)</f>
        <v>66624</v>
      </c>
      <c r="I264" s="574" t="s">
        <v>15</v>
      </c>
      <c r="J264" s="575" t="s">
        <v>23</v>
      </c>
      <c r="K264" s="576"/>
    </row>
    <row r="265" spans="1:11" x14ac:dyDescent="0.2">
      <c r="A265" s="531" t="s">
        <v>17</v>
      </c>
      <c r="B265" s="564" t="s">
        <v>17</v>
      </c>
      <c r="C265" s="506">
        <v>66078</v>
      </c>
      <c r="D265" s="505">
        <v>0.42499999999999999</v>
      </c>
      <c r="E265" s="504">
        <v>1</v>
      </c>
      <c r="F265" s="561">
        <v>12</v>
      </c>
      <c r="G265" s="503">
        <f>F265/12</f>
        <v>1</v>
      </c>
      <c r="H265" s="562">
        <f>ROUND(C265*(1+D265)*E265*G265,0)</f>
        <v>94161</v>
      </c>
      <c r="I265" s="563" t="s">
        <v>15</v>
      </c>
      <c r="J265" s="559"/>
      <c r="K265" s="576"/>
    </row>
    <row r="266" spans="1:11" x14ac:dyDescent="0.2">
      <c r="A266" s="531" t="s">
        <v>18</v>
      </c>
      <c r="B266" s="565" t="s">
        <v>18</v>
      </c>
      <c r="C266" s="506">
        <v>70043</v>
      </c>
      <c r="D266" s="505">
        <v>0.42499999999999999</v>
      </c>
      <c r="E266" s="504">
        <v>1</v>
      </c>
      <c r="F266" s="561">
        <v>12</v>
      </c>
      <c r="G266" s="503">
        <f>F266/12</f>
        <v>1</v>
      </c>
      <c r="H266" s="562">
        <f>ROUND(C266*(1+D266)*E266*G266,0)</f>
        <v>99811</v>
      </c>
      <c r="I266" s="563" t="s">
        <v>15</v>
      </c>
      <c r="J266" s="559"/>
      <c r="K266" s="576"/>
    </row>
    <row r="267" spans="1:11" x14ac:dyDescent="0.2">
      <c r="A267" s="531" t="s">
        <v>19</v>
      </c>
      <c r="B267" s="565" t="s">
        <v>19</v>
      </c>
      <c r="C267" s="506">
        <v>74245</v>
      </c>
      <c r="D267" s="505">
        <v>0.42499999999999999</v>
      </c>
      <c r="E267" s="504">
        <v>1</v>
      </c>
      <c r="F267" s="561">
        <v>12</v>
      </c>
      <c r="G267" s="503">
        <f>F267/12</f>
        <v>1</v>
      </c>
      <c r="H267" s="562">
        <f>ROUND(C267*(1+D267)*E267*G267,0)</f>
        <v>105799</v>
      </c>
      <c r="I267" s="563" t="s">
        <v>15</v>
      </c>
      <c r="J267" s="559"/>
      <c r="K267" s="576"/>
    </row>
    <row r="268" spans="1:11" x14ac:dyDescent="0.2">
      <c r="A268" s="531" t="s">
        <v>20</v>
      </c>
      <c r="B268" s="566" t="s">
        <v>20</v>
      </c>
      <c r="C268" s="502">
        <v>78700</v>
      </c>
      <c r="D268" s="501">
        <v>0.42499999999999999</v>
      </c>
      <c r="E268" s="500">
        <v>1</v>
      </c>
      <c r="F268" s="567">
        <v>12</v>
      </c>
      <c r="G268" s="499">
        <f>F268/12</f>
        <v>1</v>
      </c>
      <c r="H268" s="568">
        <f>ROUND(C268*(1+D268)*E268*G268,0)</f>
        <v>112148</v>
      </c>
      <c r="I268" s="569" t="s">
        <v>15</v>
      </c>
      <c r="J268" s="570"/>
      <c r="K268" s="576"/>
    </row>
    <row r="269" spans="1:11" x14ac:dyDescent="0.2">
      <c r="B269" s="1121" t="s">
        <v>95</v>
      </c>
      <c r="C269" s="1122"/>
      <c r="D269" s="1122"/>
      <c r="E269" s="1122"/>
      <c r="F269" s="1122"/>
      <c r="G269" s="1122"/>
      <c r="H269" s="1122"/>
      <c r="I269" s="1122"/>
      <c r="J269" s="1123"/>
      <c r="K269" s="577"/>
    </row>
    <row r="270" spans="1:11" ht="36" x14ac:dyDescent="0.2">
      <c r="A270" s="531" t="s">
        <v>13</v>
      </c>
      <c r="B270" s="566" t="s">
        <v>96</v>
      </c>
      <c r="C270" s="510">
        <v>62338</v>
      </c>
      <c r="D270" s="509">
        <v>0.42499999999999999</v>
      </c>
      <c r="E270" s="508">
        <v>1</v>
      </c>
      <c r="F270" s="572">
        <v>9</v>
      </c>
      <c r="G270" s="507">
        <f>F270/12</f>
        <v>0.75</v>
      </c>
      <c r="H270" s="573">
        <f>ROUND(C270*(1+D270)*E270*G270,0)</f>
        <v>66624</v>
      </c>
      <c r="I270" s="574" t="s">
        <v>15</v>
      </c>
      <c r="J270" s="575" t="s">
        <v>23</v>
      </c>
      <c r="K270" s="576"/>
    </row>
    <row r="271" spans="1:11" x14ac:dyDescent="0.2">
      <c r="A271" s="531" t="s">
        <v>17</v>
      </c>
      <c r="B271" s="564" t="s">
        <v>17</v>
      </c>
      <c r="C271" s="506">
        <v>66078</v>
      </c>
      <c r="D271" s="505">
        <v>0.42499999999999999</v>
      </c>
      <c r="E271" s="504">
        <v>1</v>
      </c>
      <c r="F271" s="561">
        <v>12</v>
      </c>
      <c r="G271" s="503">
        <f>F271/12</f>
        <v>1</v>
      </c>
      <c r="H271" s="562">
        <f>ROUND(C271*(1+D271)*E271*G271,0)</f>
        <v>94161</v>
      </c>
      <c r="I271" s="563" t="s">
        <v>15</v>
      </c>
      <c r="J271" s="559"/>
      <c r="K271" s="576"/>
    </row>
    <row r="272" spans="1:11" x14ac:dyDescent="0.2">
      <c r="A272" s="531" t="s">
        <v>18</v>
      </c>
      <c r="B272" s="565" t="s">
        <v>18</v>
      </c>
      <c r="C272" s="506">
        <v>70043</v>
      </c>
      <c r="D272" s="505">
        <v>0.42499999999999999</v>
      </c>
      <c r="E272" s="504">
        <v>1</v>
      </c>
      <c r="F272" s="561">
        <v>12</v>
      </c>
      <c r="G272" s="503">
        <f>F272/12</f>
        <v>1</v>
      </c>
      <c r="H272" s="562">
        <f>ROUND(C272*(1+D272)*E272*G272,0)</f>
        <v>99811</v>
      </c>
      <c r="I272" s="563" t="s">
        <v>15</v>
      </c>
      <c r="J272" s="559"/>
      <c r="K272" s="576"/>
    </row>
    <row r="273" spans="1:11" x14ac:dyDescent="0.2">
      <c r="A273" s="531" t="s">
        <v>19</v>
      </c>
      <c r="B273" s="565" t="s">
        <v>19</v>
      </c>
      <c r="C273" s="506">
        <v>74245</v>
      </c>
      <c r="D273" s="505">
        <v>0.42499999999999999</v>
      </c>
      <c r="E273" s="504">
        <v>1</v>
      </c>
      <c r="F273" s="561">
        <v>12</v>
      </c>
      <c r="G273" s="503">
        <f>F273/12</f>
        <v>1</v>
      </c>
      <c r="H273" s="562">
        <f>ROUND(C273*(1+D273)*E273*G273,0)</f>
        <v>105799</v>
      </c>
      <c r="I273" s="563" t="s">
        <v>15</v>
      </c>
      <c r="J273" s="559"/>
      <c r="K273" s="576"/>
    </row>
    <row r="274" spans="1:11" x14ac:dyDescent="0.2">
      <c r="A274" s="531" t="s">
        <v>20</v>
      </c>
      <c r="B274" s="566" t="s">
        <v>20</v>
      </c>
      <c r="C274" s="502">
        <v>78700</v>
      </c>
      <c r="D274" s="501">
        <v>0.42499999999999999</v>
      </c>
      <c r="E274" s="500">
        <v>1</v>
      </c>
      <c r="F274" s="567">
        <v>12</v>
      </c>
      <c r="G274" s="499">
        <f>F274/12</f>
        <v>1</v>
      </c>
      <c r="H274" s="568">
        <f>ROUND(C274*(1+D274)*E274*G274,0)</f>
        <v>112148</v>
      </c>
      <c r="I274" s="569" t="s">
        <v>15</v>
      </c>
      <c r="J274" s="570"/>
      <c r="K274" s="576"/>
    </row>
    <row r="275" spans="1:11" x14ac:dyDescent="0.2">
      <c r="B275" s="1121" t="s">
        <v>95</v>
      </c>
      <c r="C275" s="1122"/>
      <c r="D275" s="1122"/>
      <c r="E275" s="1122"/>
      <c r="F275" s="1122"/>
      <c r="G275" s="1122"/>
      <c r="H275" s="1122"/>
      <c r="I275" s="1122"/>
      <c r="J275" s="1123"/>
      <c r="K275" s="577"/>
    </row>
    <row r="276" spans="1:11" ht="24.75" customHeight="1" x14ac:dyDescent="0.2">
      <c r="A276" s="531" t="s">
        <v>13</v>
      </c>
      <c r="B276" s="566" t="s">
        <v>97</v>
      </c>
      <c r="C276" s="510">
        <v>69014</v>
      </c>
      <c r="D276" s="509">
        <v>0.42499999999999999</v>
      </c>
      <c r="E276" s="508">
        <v>1</v>
      </c>
      <c r="F276" s="572">
        <v>9</v>
      </c>
      <c r="G276" s="507">
        <f>F276/12</f>
        <v>0.75</v>
      </c>
      <c r="H276" s="573">
        <f>ROUND(C276*(1+D276)*E276*G276,0)</f>
        <v>73759</v>
      </c>
      <c r="I276" s="574" t="s">
        <v>15</v>
      </c>
      <c r="J276" s="575" t="s">
        <v>73</v>
      </c>
      <c r="K276" s="576"/>
    </row>
    <row r="277" spans="1:11" x14ac:dyDescent="0.2">
      <c r="A277" s="531" t="s">
        <v>17</v>
      </c>
      <c r="B277" s="564" t="s">
        <v>17</v>
      </c>
      <c r="C277" s="506">
        <v>73155</v>
      </c>
      <c r="D277" s="505">
        <v>0.42499999999999999</v>
      </c>
      <c r="E277" s="504">
        <v>1</v>
      </c>
      <c r="F277" s="561">
        <v>12</v>
      </c>
      <c r="G277" s="503">
        <f>F277/12</f>
        <v>1</v>
      </c>
      <c r="H277" s="562">
        <f>ROUND(C277*(1+D277)*E277*G277,0)</f>
        <v>104246</v>
      </c>
      <c r="I277" s="563" t="s">
        <v>15</v>
      </c>
      <c r="J277" s="559"/>
      <c r="K277" s="576"/>
    </row>
    <row r="278" spans="1:11" x14ac:dyDescent="0.2">
      <c r="A278" s="531" t="s">
        <v>18</v>
      </c>
      <c r="B278" s="565" t="s">
        <v>18</v>
      </c>
      <c r="C278" s="506">
        <v>77545</v>
      </c>
      <c r="D278" s="505">
        <v>0.42499999999999999</v>
      </c>
      <c r="E278" s="504">
        <v>1</v>
      </c>
      <c r="F278" s="561">
        <v>12</v>
      </c>
      <c r="G278" s="503">
        <f>F278/12</f>
        <v>1</v>
      </c>
      <c r="H278" s="562">
        <f>ROUND(C278*(1+D278)*E278*G278,0)</f>
        <v>110502</v>
      </c>
      <c r="I278" s="563" t="s">
        <v>15</v>
      </c>
      <c r="J278" s="559"/>
      <c r="K278" s="576"/>
    </row>
    <row r="279" spans="1:11" x14ac:dyDescent="0.2">
      <c r="A279" s="531" t="s">
        <v>19</v>
      </c>
      <c r="B279" s="565" t="s">
        <v>19</v>
      </c>
      <c r="C279" s="506">
        <v>82197</v>
      </c>
      <c r="D279" s="505">
        <v>0.42499999999999999</v>
      </c>
      <c r="E279" s="504">
        <v>1</v>
      </c>
      <c r="F279" s="561">
        <v>12</v>
      </c>
      <c r="G279" s="503">
        <f>F279/12</f>
        <v>1</v>
      </c>
      <c r="H279" s="562">
        <f>ROUND(C279*(1+D279)*E279*G279,0)</f>
        <v>117131</v>
      </c>
      <c r="I279" s="563" t="s">
        <v>15</v>
      </c>
      <c r="J279" s="559"/>
      <c r="K279" s="576"/>
    </row>
    <row r="280" spans="1:11" x14ac:dyDescent="0.2">
      <c r="A280" s="531" t="s">
        <v>20</v>
      </c>
      <c r="B280" s="566" t="s">
        <v>20</v>
      </c>
      <c r="C280" s="502">
        <v>87129</v>
      </c>
      <c r="D280" s="501">
        <v>0.42499999999999999</v>
      </c>
      <c r="E280" s="500">
        <v>1</v>
      </c>
      <c r="F280" s="567">
        <v>12</v>
      </c>
      <c r="G280" s="499">
        <f>F280/12</f>
        <v>1</v>
      </c>
      <c r="H280" s="568">
        <f>ROUND(C280*(1+D280)*E280*G280,0)</f>
        <v>124159</v>
      </c>
      <c r="I280" s="569" t="s">
        <v>15</v>
      </c>
      <c r="J280" s="570"/>
      <c r="K280" s="576"/>
    </row>
    <row r="281" spans="1:11" ht="30" customHeight="1" x14ac:dyDescent="0.2">
      <c r="B281" s="1112" t="s">
        <v>98</v>
      </c>
      <c r="C281" s="1113"/>
      <c r="D281" s="1113"/>
      <c r="E281" s="1113"/>
      <c r="F281" s="1113"/>
      <c r="G281" s="1113"/>
      <c r="H281" s="1113"/>
      <c r="I281" s="1113"/>
      <c r="J281" s="1114"/>
      <c r="K281" s="577"/>
    </row>
    <row r="282" spans="1:11" ht="24" x14ac:dyDescent="0.2">
      <c r="A282" s="531" t="s">
        <v>13</v>
      </c>
      <c r="B282" s="566" t="s">
        <v>99</v>
      </c>
      <c r="C282" s="510">
        <v>62338</v>
      </c>
      <c r="D282" s="509">
        <v>0.42499999999999999</v>
      </c>
      <c r="E282" s="508">
        <v>1</v>
      </c>
      <c r="F282" s="572">
        <v>9</v>
      </c>
      <c r="G282" s="507">
        <f>F282/12</f>
        <v>0.75</v>
      </c>
      <c r="H282" s="573">
        <f>ROUND(C282*(1+D282)*E282*G282,0)</f>
        <v>66624</v>
      </c>
      <c r="I282" s="574" t="s">
        <v>15</v>
      </c>
      <c r="J282" s="575" t="s">
        <v>23</v>
      </c>
      <c r="K282" s="576"/>
    </row>
    <row r="283" spans="1:11" x14ac:dyDescent="0.2">
      <c r="A283" s="531" t="s">
        <v>17</v>
      </c>
      <c r="B283" s="564" t="s">
        <v>17</v>
      </c>
      <c r="C283" s="506">
        <v>66078</v>
      </c>
      <c r="D283" s="505">
        <v>0.42499999999999999</v>
      </c>
      <c r="E283" s="504">
        <v>1</v>
      </c>
      <c r="F283" s="561">
        <v>12</v>
      </c>
      <c r="G283" s="503">
        <f>F283/12</f>
        <v>1</v>
      </c>
      <c r="H283" s="562">
        <f>ROUND(C283*(1+D283)*E283*G283,0)</f>
        <v>94161</v>
      </c>
      <c r="I283" s="563" t="s">
        <v>15</v>
      </c>
      <c r="J283" s="559"/>
      <c r="K283" s="576"/>
    </row>
    <row r="284" spans="1:11" x14ac:dyDescent="0.2">
      <c r="A284" s="531" t="s">
        <v>18</v>
      </c>
      <c r="B284" s="565" t="s">
        <v>18</v>
      </c>
      <c r="C284" s="506">
        <v>70043</v>
      </c>
      <c r="D284" s="505">
        <v>0.42499999999999999</v>
      </c>
      <c r="E284" s="504">
        <v>1</v>
      </c>
      <c r="F284" s="561">
        <v>12</v>
      </c>
      <c r="G284" s="503">
        <f>F284/12</f>
        <v>1</v>
      </c>
      <c r="H284" s="562">
        <f>ROUND(C284*(1+D284)*E284*G284,0)</f>
        <v>99811</v>
      </c>
      <c r="I284" s="563" t="s">
        <v>15</v>
      </c>
      <c r="J284" s="559"/>
      <c r="K284" s="576"/>
    </row>
    <row r="285" spans="1:11" x14ac:dyDescent="0.2">
      <c r="A285" s="531" t="s">
        <v>19</v>
      </c>
      <c r="B285" s="565" t="s">
        <v>19</v>
      </c>
      <c r="C285" s="506">
        <v>74245</v>
      </c>
      <c r="D285" s="505">
        <v>0.42499999999999999</v>
      </c>
      <c r="E285" s="504">
        <v>1</v>
      </c>
      <c r="F285" s="561">
        <v>12</v>
      </c>
      <c r="G285" s="503">
        <f>F285/12</f>
        <v>1</v>
      </c>
      <c r="H285" s="562">
        <f>ROUND(C285*(1+D285)*E285*G285,0)</f>
        <v>105799</v>
      </c>
      <c r="I285" s="563" t="s">
        <v>15</v>
      </c>
      <c r="J285" s="559"/>
      <c r="K285" s="576"/>
    </row>
    <row r="286" spans="1:11" x14ac:dyDescent="0.2">
      <c r="A286" s="531" t="s">
        <v>20</v>
      </c>
      <c r="B286" s="566" t="s">
        <v>20</v>
      </c>
      <c r="C286" s="502">
        <v>78700</v>
      </c>
      <c r="D286" s="501">
        <v>0.42499999999999999</v>
      </c>
      <c r="E286" s="500">
        <v>1</v>
      </c>
      <c r="F286" s="567">
        <v>12</v>
      </c>
      <c r="G286" s="499">
        <f>F286/12</f>
        <v>1</v>
      </c>
      <c r="H286" s="568">
        <f>ROUND(C286*(1+D286)*E286*G286,0)</f>
        <v>112148</v>
      </c>
      <c r="I286" s="569" t="s">
        <v>15</v>
      </c>
      <c r="J286" s="570"/>
      <c r="K286" s="576"/>
    </row>
    <row r="287" spans="1:11" ht="30" customHeight="1" x14ac:dyDescent="0.2">
      <c r="B287" s="1112" t="s">
        <v>100</v>
      </c>
      <c r="C287" s="1113"/>
      <c r="D287" s="1113"/>
      <c r="E287" s="1113"/>
      <c r="F287" s="1113"/>
      <c r="G287" s="1113"/>
      <c r="H287" s="1113"/>
      <c r="I287" s="1113"/>
      <c r="J287" s="1114"/>
      <c r="K287" s="577"/>
    </row>
    <row r="288" spans="1:11" ht="24" x14ac:dyDescent="0.2">
      <c r="A288" s="531" t="s">
        <v>13</v>
      </c>
      <c r="B288" s="566" t="s">
        <v>101</v>
      </c>
      <c r="C288" s="510">
        <v>62338</v>
      </c>
      <c r="D288" s="509">
        <v>0.42499999999999999</v>
      </c>
      <c r="E288" s="508">
        <v>1</v>
      </c>
      <c r="F288" s="572">
        <v>9</v>
      </c>
      <c r="G288" s="507">
        <f>F288/12</f>
        <v>0.75</v>
      </c>
      <c r="H288" s="573">
        <f>ROUND(C288*(1+D288)*E288*G288,0)</f>
        <v>66624</v>
      </c>
      <c r="I288" s="574" t="s">
        <v>15</v>
      </c>
      <c r="J288" s="575" t="s">
        <v>23</v>
      </c>
      <c r="K288" s="576"/>
    </row>
    <row r="289" spans="1:11" x14ac:dyDescent="0.2">
      <c r="A289" s="531" t="s">
        <v>17</v>
      </c>
      <c r="B289" s="564" t="s">
        <v>17</v>
      </c>
      <c r="C289" s="506">
        <v>66078</v>
      </c>
      <c r="D289" s="505">
        <v>0.42499999999999999</v>
      </c>
      <c r="E289" s="504">
        <v>1</v>
      </c>
      <c r="F289" s="561">
        <v>12</v>
      </c>
      <c r="G289" s="503">
        <f>F289/12</f>
        <v>1</v>
      </c>
      <c r="H289" s="562">
        <f>ROUND(C289*(1+D289)*E289*G289,0)</f>
        <v>94161</v>
      </c>
      <c r="I289" s="563" t="s">
        <v>15</v>
      </c>
      <c r="J289" s="559"/>
      <c r="K289" s="576"/>
    </row>
    <row r="290" spans="1:11" x14ac:dyDescent="0.2">
      <c r="A290" s="531" t="s">
        <v>18</v>
      </c>
      <c r="B290" s="565" t="s">
        <v>18</v>
      </c>
      <c r="C290" s="506">
        <v>70043</v>
      </c>
      <c r="D290" s="505">
        <v>0.42499999999999999</v>
      </c>
      <c r="E290" s="504">
        <v>1</v>
      </c>
      <c r="F290" s="561">
        <v>0</v>
      </c>
      <c r="G290" s="503">
        <f>F290/12</f>
        <v>0</v>
      </c>
      <c r="H290" s="562">
        <f>ROUND(C290*(1+D290)*E290*G290,0)</f>
        <v>0</v>
      </c>
      <c r="I290" s="563" t="s">
        <v>15</v>
      </c>
      <c r="J290" s="559"/>
      <c r="K290" s="576"/>
    </row>
    <row r="291" spans="1:11" x14ac:dyDescent="0.2">
      <c r="A291" s="531" t="s">
        <v>19</v>
      </c>
      <c r="B291" s="565" t="s">
        <v>19</v>
      </c>
      <c r="C291" s="506">
        <v>74245</v>
      </c>
      <c r="D291" s="505">
        <v>0.42499999999999999</v>
      </c>
      <c r="E291" s="504">
        <v>1</v>
      </c>
      <c r="F291" s="561">
        <v>0</v>
      </c>
      <c r="G291" s="503">
        <f>F291/12</f>
        <v>0</v>
      </c>
      <c r="H291" s="562">
        <f>ROUND(C291*(1+D291)*E291*G291,0)</f>
        <v>0</v>
      </c>
      <c r="I291" s="563" t="s">
        <v>15</v>
      </c>
      <c r="J291" s="559"/>
      <c r="K291" s="576"/>
    </row>
    <row r="292" spans="1:11" x14ac:dyDescent="0.2">
      <c r="A292" s="531" t="s">
        <v>20</v>
      </c>
      <c r="B292" s="566" t="s">
        <v>20</v>
      </c>
      <c r="C292" s="502">
        <v>78700</v>
      </c>
      <c r="D292" s="501">
        <v>0.42499999999999999</v>
      </c>
      <c r="E292" s="500">
        <v>1</v>
      </c>
      <c r="F292" s="567">
        <v>0</v>
      </c>
      <c r="G292" s="499">
        <f>F292/12</f>
        <v>0</v>
      </c>
      <c r="H292" s="568">
        <f>ROUND(C292*(1+D292)*E292*G292,0)</f>
        <v>0</v>
      </c>
      <c r="I292" s="569" t="s">
        <v>15</v>
      </c>
      <c r="J292" s="570"/>
      <c r="K292" s="576"/>
    </row>
    <row r="293" spans="1:11" x14ac:dyDescent="0.2">
      <c r="B293" s="1121" t="s">
        <v>95</v>
      </c>
      <c r="C293" s="1122"/>
      <c r="D293" s="1122"/>
      <c r="E293" s="1122"/>
      <c r="F293" s="1122"/>
      <c r="G293" s="1122"/>
      <c r="H293" s="1122"/>
      <c r="I293" s="1122"/>
      <c r="J293" s="1123"/>
      <c r="K293" s="577"/>
    </row>
    <row r="294" spans="1:11" ht="24" x14ac:dyDescent="0.2">
      <c r="A294" s="531" t="s">
        <v>13</v>
      </c>
      <c r="B294" s="604" t="s">
        <v>349</v>
      </c>
      <c r="C294" s="510">
        <v>62338</v>
      </c>
      <c r="D294" s="509">
        <v>0.42499999999999999</v>
      </c>
      <c r="E294" s="508">
        <v>1</v>
      </c>
      <c r="F294" s="572">
        <v>5</v>
      </c>
      <c r="G294" s="507">
        <f>F294/12</f>
        <v>0.41666666666666669</v>
      </c>
      <c r="H294" s="573">
        <f>ROUND(C294*(1+D294)*E294*G294,0)</f>
        <v>37013</v>
      </c>
      <c r="I294" s="574" t="s">
        <v>15</v>
      </c>
      <c r="J294" s="575" t="s">
        <v>16</v>
      </c>
      <c r="K294" s="576"/>
    </row>
    <row r="295" spans="1:11" x14ac:dyDescent="0.2">
      <c r="A295" s="531" t="s">
        <v>17</v>
      </c>
      <c r="B295" s="564" t="s">
        <v>17</v>
      </c>
      <c r="C295" s="506">
        <v>66078</v>
      </c>
      <c r="D295" s="505">
        <v>0.42499999999999999</v>
      </c>
      <c r="E295" s="504">
        <v>1</v>
      </c>
      <c r="F295" s="561">
        <v>6</v>
      </c>
      <c r="G295" s="503">
        <f>F295/12</f>
        <v>0.5</v>
      </c>
      <c r="H295" s="562">
        <f>ROUND(C295*(1+D295)*E295*G295,0)</f>
        <v>47081</v>
      </c>
      <c r="I295" s="563" t="s">
        <v>15</v>
      </c>
      <c r="J295" s="559"/>
      <c r="K295" s="576"/>
    </row>
    <row r="296" spans="1:11" x14ac:dyDescent="0.2">
      <c r="A296" s="531" t="s">
        <v>18</v>
      </c>
      <c r="B296" s="565" t="s">
        <v>18</v>
      </c>
      <c r="C296" s="506">
        <v>0</v>
      </c>
      <c r="D296" s="505">
        <v>0.42499999999999999</v>
      </c>
      <c r="E296" s="504">
        <v>1</v>
      </c>
      <c r="F296" s="561">
        <v>0</v>
      </c>
      <c r="G296" s="503">
        <f>F296/12</f>
        <v>0</v>
      </c>
      <c r="H296" s="562">
        <f>ROUND(C296*(1+D296)*E296*G296,0)</f>
        <v>0</v>
      </c>
      <c r="I296" s="563" t="s">
        <v>15</v>
      </c>
      <c r="J296" s="559"/>
      <c r="K296" s="576"/>
    </row>
    <row r="297" spans="1:11" x14ac:dyDescent="0.2">
      <c r="A297" s="531" t="s">
        <v>19</v>
      </c>
      <c r="B297" s="565" t="s">
        <v>19</v>
      </c>
      <c r="C297" s="506">
        <v>0</v>
      </c>
      <c r="D297" s="505">
        <v>0.42499999999999999</v>
      </c>
      <c r="E297" s="504">
        <v>1</v>
      </c>
      <c r="F297" s="561">
        <v>0</v>
      </c>
      <c r="G297" s="503">
        <f>F297/12</f>
        <v>0</v>
      </c>
      <c r="H297" s="562">
        <f>ROUND(C297*(1+D297)*E297*G297,0)</f>
        <v>0</v>
      </c>
      <c r="I297" s="563" t="s">
        <v>15</v>
      </c>
      <c r="J297" s="559"/>
      <c r="K297" s="576"/>
    </row>
    <row r="298" spans="1:11" x14ac:dyDescent="0.2">
      <c r="A298" s="531" t="s">
        <v>20</v>
      </c>
      <c r="B298" s="566" t="s">
        <v>20</v>
      </c>
      <c r="C298" s="502">
        <v>0</v>
      </c>
      <c r="D298" s="501">
        <v>0.42499999999999999</v>
      </c>
      <c r="E298" s="500">
        <v>1</v>
      </c>
      <c r="F298" s="567">
        <v>0</v>
      </c>
      <c r="G298" s="499">
        <f>F298/12</f>
        <v>0</v>
      </c>
      <c r="H298" s="568">
        <f>ROUND(C298*(1+D298)*E298*G298,0)</f>
        <v>0</v>
      </c>
      <c r="I298" s="569" t="s">
        <v>15</v>
      </c>
      <c r="J298" s="570"/>
      <c r="K298" s="576"/>
    </row>
    <row r="299" spans="1:11" ht="30" customHeight="1" x14ac:dyDescent="0.2">
      <c r="B299" s="1112" t="s">
        <v>103</v>
      </c>
      <c r="C299" s="1113"/>
      <c r="D299" s="1113"/>
      <c r="E299" s="1113"/>
      <c r="F299" s="1113"/>
      <c r="G299" s="1113"/>
      <c r="H299" s="1113"/>
      <c r="I299" s="1113"/>
      <c r="J299" s="1114"/>
      <c r="K299" s="577"/>
    </row>
    <row r="300" spans="1:11" ht="24" x14ac:dyDescent="0.2">
      <c r="A300" s="531" t="s">
        <v>13</v>
      </c>
      <c r="B300" s="566" t="s">
        <v>104</v>
      </c>
      <c r="C300" s="510">
        <v>109387</v>
      </c>
      <c r="D300" s="509">
        <v>0.42499999999999999</v>
      </c>
      <c r="E300" s="508">
        <v>1</v>
      </c>
      <c r="F300" s="572">
        <v>5</v>
      </c>
      <c r="G300" s="507">
        <f>F300/12</f>
        <v>0.41666666666666669</v>
      </c>
      <c r="H300" s="573">
        <f>ROUND(C300*(1+D300)*E300*G300,0)</f>
        <v>64949</v>
      </c>
      <c r="I300" s="574" t="s">
        <v>15</v>
      </c>
      <c r="J300" s="575" t="s">
        <v>16</v>
      </c>
      <c r="K300" s="576"/>
    </row>
    <row r="301" spans="1:11" x14ac:dyDescent="0.2">
      <c r="A301" s="531" t="s">
        <v>17</v>
      </c>
      <c r="B301" s="564" t="s">
        <v>17</v>
      </c>
      <c r="C301" s="506">
        <v>115950</v>
      </c>
      <c r="D301" s="505">
        <v>0.42499999999999999</v>
      </c>
      <c r="E301" s="504">
        <v>1</v>
      </c>
      <c r="F301" s="561">
        <v>7</v>
      </c>
      <c r="G301" s="503">
        <f>F301/12</f>
        <v>0.58333333333333337</v>
      </c>
      <c r="H301" s="562">
        <f>ROUND(C301*(1+D301)*E301*G301,0)</f>
        <v>96383</v>
      </c>
      <c r="I301" s="563" t="s">
        <v>15</v>
      </c>
      <c r="J301" s="559"/>
      <c r="K301" s="576"/>
    </row>
    <row r="302" spans="1:11" x14ac:dyDescent="0.2">
      <c r="A302" s="531" t="s">
        <v>18</v>
      </c>
      <c r="B302" s="565" t="s">
        <v>18</v>
      </c>
      <c r="C302" s="506">
        <v>0</v>
      </c>
      <c r="D302" s="505">
        <v>0.42499999999999999</v>
      </c>
      <c r="E302" s="504">
        <v>1</v>
      </c>
      <c r="F302" s="561">
        <v>12</v>
      </c>
      <c r="G302" s="503">
        <f>F302/12</f>
        <v>1</v>
      </c>
      <c r="H302" s="562">
        <f>ROUND(C302*(1+D302)*E302*G302,0)</f>
        <v>0</v>
      </c>
      <c r="I302" s="563" t="s">
        <v>15</v>
      </c>
      <c r="J302" s="559"/>
      <c r="K302" s="576"/>
    </row>
    <row r="303" spans="1:11" x14ac:dyDescent="0.2">
      <c r="A303" s="531" t="s">
        <v>19</v>
      </c>
      <c r="B303" s="565" t="s">
        <v>19</v>
      </c>
      <c r="C303" s="506">
        <v>0</v>
      </c>
      <c r="D303" s="505">
        <v>0.42499999999999999</v>
      </c>
      <c r="E303" s="504">
        <v>1</v>
      </c>
      <c r="F303" s="561">
        <v>12</v>
      </c>
      <c r="G303" s="503">
        <f>F303/12</f>
        <v>1</v>
      </c>
      <c r="H303" s="562">
        <f>ROUND(C303*(1+D303)*E303*G303,0)</f>
        <v>0</v>
      </c>
      <c r="I303" s="563" t="s">
        <v>15</v>
      </c>
      <c r="J303" s="559"/>
      <c r="K303" s="576"/>
    </row>
    <row r="304" spans="1:11" x14ac:dyDescent="0.2">
      <c r="A304" s="531" t="s">
        <v>20</v>
      </c>
      <c r="B304" s="566" t="s">
        <v>20</v>
      </c>
      <c r="C304" s="502">
        <v>0</v>
      </c>
      <c r="D304" s="501">
        <v>0.42499999999999999</v>
      </c>
      <c r="E304" s="500">
        <v>1</v>
      </c>
      <c r="F304" s="567">
        <v>12</v>
      </c>
      <c r="G304" s="499">
        <f>F304/12</f>
        <v>1</v>
      </c>
      <c r="H304" s="568">
        <f>ROUND(C304*(1+D304)*E304*G304,0)</f>
        <v>0</v>
      </c>
      <c r="I304" s="569" t="s">
        <v>15</v>
      </c>
      <c r="J304" s="570"/>
      <c r="K304" s="576"/>
    </row>
    <row r="305" spans="1:11" ht="30" customHeight="1" x14ac:dyDescent="0.2">
      <c r="B305" s="1112" t="s">
        <v>100</v>
      </c>
      <c r="C305" s="1113"/>
      <c r="D305" s="1113"/>
      <c r="E305" s="1113"/>
      <c r="F305" s="1113"/>
      <c r="G305" s="1113"/>
      <c r="H305" s="1113"/>
      <c r="I305" s="1113"/>
      <c r="J305" s="1114"/>
      <c r="K305" s="577"/>
    </row>
    <row r="306" spans="1:11" ht="24" x14ac:dyDescent="0.2">
      <c r="A306" s="531" t="s">
        <v>13</v>
      </c>
      <c r="B306" s="605" t="s">
        <v>105</v>
      </c>
      <c r="C306" s="510">
        <v>69014</v>
      </c>
      <c r="D306" s="509">
        <v>0.42499999999999999</v>
      </c>
      <c r="E306" s="508">
        <v>1</v>
      </c>
      <c r="F306" s="572">
        <v>5</v>
      </c>
      <c r="G306" s="507">
        <f>F306/12</f>
        <v>0.41666666666666669</v>
      </c>
      <c r="H306" s="573">
        <f>ROUND(C306*(1+D306)*E306*G306,0)</f>
        <v>40977</v>
      </c>
      <c r="I306" s="574" t="s">
        <v>15</v>
      </c>
      <c r="J306" s="575" t="s">
        <v>23</v>
      </c>
      <c r="K306" s="576"/>
    </row>
    <row r="307" spans="1:11" x14ac:dyDescent="0.2">
      <c r="A307" s="531" t="s">
        <v>17</v>
      </c>
      <c r="B307" s="606" t="s">
        <v>17</v>
      </c>
      <c r="C307" s="506">
        <v>73155</v>
      </c>
      <c r="D307" s="505">
        <v>0.42499999999999999</v>
      </c>
      <c r="E307" s="504">
        <v>1</v>
      </c>
      <c r="F307" s="561">
        <v>12</v>
      </c>
      <c r="G307" s="503">
        <f>F307/12</f>
        <v>1</v>
      </c>
      <c r="H307" s="562">
        <f>ROUND(C307*(1+D307)*E307*G307,0)</f>
        <v>104246</v>
      </c>
      <c r="I307" s="563" t="s">
        <v>15</v>
      </c>
      <c r="J307" s="559"/>
      <c r="K307" s="576"/>
    </row>
    <row r="308" spans="1:11" x14ac:dyDescent="0.2">
      <c r="A308" s="531" t="s">
        <v>18</v>
      </c>
      <c r="B308" s="607" t="s">
        <v>18</v>
      </c>
      <c r="C308" s="506">
        <v>0</v>
      </c>
      <c r="D308" s="505">
        <v>0.42499999999999999</v>
      </c>
      <c r="E308" s="504">
        <v>0</v>
      </c>
      <c r="F308" s="561">
        <v>12</v>
      </c>
      <c r="G308" s="503">
        <f>F308/12</f>
        <v>1</v>
      </c>
      <c r="H308" s="562">
        <f>ROUND(C308*(1+D308)*E308*G308,0)</f>
        <v>0</v>
      </c>
      <c r="I308" s="563" t="s">
        <v>15</v>
      </c>
      <c r="J308" s="559"/>
      <c r="K308" s="576"/>
    </row>
    <row r="309" spans="1:11" x14ac:dyDescent="0.2">
      <c r="A309" s="531" t="s">
        <v>19</v>
      </c>
      <c r="B309" s="607" t="s">
        <v>19</v>
      </c>
      <c r="C309" s="506">
        <v>0</v>
      </c>
      <c r="D309" s="505">
        <v>0.42499999999999999</v>
      </c>
      <c r="E309" s="504">
        <v>0</v>
      </c>
      <c r="F309" s="561">
        <v>12</v>
      </c>
      <c r="G309" s="503">
        <f>F309/12</f>
        <v>1</v>
      </c>
      <c r="H309" s="562">
        <f>ROUND(C309*(1+D309)*E309*G309,0)</f>
        <v>0</v>
      </c>
      <c r="I309" s="563" t="s">
        <v>15</v>
      </c>
      <c r="J309" s="559"/>
      <c r="K309" s="576"/>
    </row>
    <row r="310" spans="1:11" x14ac:dyDescent="0.2">
      <c r="A310" s="531" t="s">
        <v>20</v>
      </c>
      <c r="B310" s="607" t="s">
        <v>20</v>
      </c>
      <c r="C310" s="502">
        <v>0</v>
      </c>
      <c r="D310" s="501">
        <v>0.42499999999999999</v>
      </c>
      <c r="E310" s="500">
        <v>0</v>
      </c>
      <c r="F310" s="567">
        <v>12</v>
      </c>
      <c r="G310" s="499">
        <f>F310/12</f>
        <v>1</v>
      </c>
      <c r="H310" s="568">
        <f>ROUND(C310*(1+D310)*E310*G310,0)</f>
        <v>0</v>
      </c>
      <c r="I310" s="569" t="s">
        <v>15</v>
      </c>
      <c r="J310" s="570"/>
      <c r="K310" s="576"/>
    </row>
    <row r="311" spans="1:11" ht="30" customHeight="1" x14ac:dyDescent="0.2">
      <c r="B311" s="1112" t="s">
        <v>100</v>
      </c>
      <c r="C311" s="1113"/>
      <c r="D311" s="1113"/>
      <c r="E311" s="1113"/>
      <c r="F311" s="1113"/>
      <c r="G311" s="1113"/>
      <c r="H311" s="1113"/>
      <c r="I311" s="1113"/>
      <c r="J311" s="1114"/>
      <c r="K311" s="577"/>
    </row>
    <row r="312" spans="1:11" x14ac:dyDescent="0.2">
      <c r="A312" s="531" t="s">
        <v>13</v>
      </c>
      <c r="B312" s="605" t="s">
        <v>106</v>
      </c>
      <c r="C312" s="510">
        <v>78520</v>
      </c>
      <c r="D312" s="509">
        <v>0.42499999999999999</v>
      </c>
      <c r="E312" s="508">
        <v>1</v>
      </c>
      <c r="F312" s="572">
        <v>9</v>
      </c>
      <c r="G312" s="507">
        <f>F312/12</f>
        <v>0.75</v>
      </c>
      <c r="H312" s="573">
        <f>ROUND(C312*(1+D312)*E312*G312,0)</f>
        <v>83918</v>
      </c>
      <c r="I312" s="574" t="s">
        <v>15</v>
      </c>
      <c r="J312" s="575" t="s">
        <v>73</v>
      </c>
      <c r="K312" s="576"/>
    </row>
    <row r="313" spans="1:11" x14ac:dyDescent="0.2">
      <c r="A313" s="531" t="s">
        <v>17</v>
      </c>
      <c r="B313" s="606" t="s">
        <v>17</v>
      </c>
      <c r="C313" s="506">
        <v>83231.199999999997</v>
      </c>
      <c r="D313" s="505">
        <v>0.42499999999999999</v>
      </c>
      <c r="E313" s="504">
        <v>1</v>
      </c>
      <c r="F313" s="561">
        <v>12</v>
      </c>
      <c r="G313" s="503">
        <f>F313/12</f>
        <v>1</v>
      </c>
      <c r="H313" s="562">
        <f>ROUND(C313*(1+D313)*E313*G313,0)</f>
        <v>118604</v>
      </c>
      <c r="I313" s="563" t="s">
        <v>15</v>
      </c>
      <c r="J313" s="559"/>
      <c r="K313" s="576"/>
    </row>
    <row r="314" spans="1:11" x14ac:dyDescent="0.2">
      <c r="A314" s="531" t="s">
        <v>18</v>
      </c>
      <c r="B314" s="607" t="s">
        <v>18</v>
      </c>
      <c r="C314" s="506">
        <v>88231.2</v>
      </c>
      <c r="D314" s="505">
        <v>0.42499999999999999</v>
      </c>
      <c r="E314" s="504">
        <v>1</v>
      </c>
      <c r="F314" s="561">
        <v>12</v>
      </c>
      <c r="G314" s="503">
        <f>F314/12</f>
        <v>1</v>
      </c>
      <c r="H314" s="562">
        <f>ROUND(C314*(1+D314)*E314*G314,0)</f>
        <v>125729</v>
      </c>
      <c r="I314" s="563" t="s">
        <v>15</v>
      </c>
      <c r="J314" s="559"/>
      <c r="K314" s="576"/>
    </row>
    <row r="315" spans="1:11" x14ac:dyDescent="0.2">
      <c r="A315" s="531" t="s">
        <v>19</v>
      </c>
      <c r="B315" s="607" t="s">
        <v>19</v>
      </c>
      <c r="C315" s="506">
        <v>93518.58</v>
      </c>
      <c r="D315" s="505">
        <v>0.42499999999999999</v>
      </c>
      <c r="E315" s="504">
        <v>1</v>
      </c>
      <c r="F315" s="561">
        <v>12</v>
      </c>
      <c r="G315" s="503">
        <f>F315/12</f>
        <v>1</v>
      </c>
      <c r="H315" s="562">
        <f>ROUND(C315*(1+D315)*E315*G315,0)</f>
        <v>133264</v>
      </c>
      <c r="I315" s="563" t="s">
        <v>15</v>
      </c>
      <c r="J315" s="559"/>
      <c r="K315" s="576"/>
    </row>
    <row r="316" spans="1:11" x14ac:dyDescent="0.2">
      <c r="A316" s="531" t="s">
        <v>20</v>
      </c>
      <c r="B316" s="607" t="s">
        <v>20</v>
      </c>
      <c r="C316" s="502">
        <v>99129.69</v>
      </c>
      <c r="D316" s="501">
        <v>0.42499999999999999</v>
      </c>
      <c r="E316" s="500">
        <v>1</v>
      </c>
      <c r="F316" s="567">
        <v>12</v>
      </c>
      <c r="G316" s="499">
        <f>F316/12</f>
        <v>1</v>
      </c>
      <c r="H316" s="568">
        <f>ROUND(C316*(1+D316)*E316*G316,0)</f>
        <v>141260</v>
      </c>
      <c r="I316" s="569" t="s">
        <v>15</v>
      </c>
      <c r="J316" s="570"/>
      <c r="K316" s="576"/>
    </row>
    <row r="317" spans="1:11" ht="108.75" customHeight="1" x14ac:dyDescent="0.2">
      <c r="B317" s="1112" t="s">
        <v>107</v>
      </c>
      <c r="C317" s="1113"/>
      <c r="D317" s="1113"/>
      <c r="E317" s="1113"/>
      <c r="F317" s="1113"/>
      <c r="G317" s="1113"/>
      <c r="H317" s="1113"/>
      <c r="I317" s="1113"/>
      <c r="J317" s="1114"/>
      <c r="K317" s="577"/>
    </row>
    <row r="318" spans="1:11" x14ac:dyDescent="0.2">
      <c r="B318" s="608"/>
      <c r="C318" s="498"/>
      <c r="D318" s="497"/>
      <c r="E318" s="496"/>
      <c r="F318" s="496"/>
      <c r="G318" s="496"/>
      <c r="H318" s="609"/>
      <c r="I318" s="610"/>
      <c r="J318" s="611"/>
      <c r="K318" s="550" t="s">
        <v>108</v>
      </c>
    </row>
    <row r="319" spans="1:11" ht="12.75" customHeight="1" x14ac:dyDescent="0.2">
      <c r="B319" s="612"/>
      <c r="C319" s="613"/>
      <c r="D319" s="613"/>
      <c r="E319" s="494"/>
      <c r="F319" s="613"/>
      <c r="G319" s="614"/>
      <c r="H319" s="1130" t="s">
        <v>110</v>
      </c>
      <c r="I319" s="1130"/>
      <c r="J319" s="615">
        <f>SUMPRODUCT(C4:C318,E4:E318,G4:G318)</f>
        <v>15006024.000833334</v>
      </c>
      <c r="K319" s="588"/>
    </row>
    <row r="320" spans="1:11" x14ac:dyDescent="0.2">
      <c r="B320" s="495"/>
      <c r="C320" s="528"/>
      <c r="D320" s="616"/>
      <c r="E320" s="494"/>
      <c r="F320" s="613"/>
      <c r="G320" s="614"/>
      <c r="H320" s="1131" t="s">
        <v>109</v>
      </c>
      <c r="I320" s="1131"/>
      <c r="J320" s="615">
        <f>SUMPRODUCT(C4:C318,D4:D318,E4:E318,G4:G318)</f>
        <v>6377560.200354171</v>
      </c>
      <c r="K320" s="588"/>
    </row>
    <row r="321" spans="2:12" x14ac:dyDescent="0.2">
      <c r="B321" s="617"/>
      <c r="C321" s="493"/>
      <c r="D321" s="618"/>
      <c r="E321" s="492"/>
      <c r="F321" s="619"/>
      <c r="G321" s="620"/>
      <c r="H321" s="621"/>
      <c r="I321" s="491" t="s">
        <v>111</v>
      </c>
      <c r="J321" s="490">
        <f>SUM(E4:E318)</f>
        <v>248.55</v>
      </c>
      <c r="K321" s="588"/>
    </row>
    <row r="322" spans="2:12" x14ac:dyDescent="0.2">
      <c r="B322" s="489"/>
      <c r="C322" s="489"/>
      <c r="D322" s="488"/>
      <c r="E322" s="487"/>
      <c r="F322" s="622"/>
      <c r="G322" s="623"/>
      <c r="H322" s="624"/>
      <c r="I322" s="625"/>
      <c r="J322" s="626"/>
      <c r="K322" s="588"/>
    </row>
    <row r="323" spans="2:12" x14ac:dyDescent="0.2">
      <c r="B323" s="1132" t="s">
        <v>112</v>
      </c>
      <c r="C323" s="1132"/>
      <c r="D323" s="1132"/>
      <c r="E323" s="1132"/>
      <c r="F323" s="1132"/>
      <c r="G323" s="1132"/>
      <c r="H323" s="1132"/>
      <c r="I323" s="1132"/>
      <c r="J323" s="486">
        <f>ROUND(SUM(H325,H336,H347,H358,H370,H375),0)</f>
        <v>44758</v>
      </c>
    </row>
    <row r="324" spans="2:12" x14ac:dyDescent="0.2">
      <c r="B324" s="1133" t="s">
        <v>113</v>
      </c>
      <c r="C324" s="1133"/>
      <c r="D324" s="1133"/>
      <c r="E324" s="1133"/>
      <c r="F324" s="1133"/>
      <c r="G324" s="1133"/>
      <c r="H324" s="1133"/>
      <c r="I324" s="627"/>
      <c r="J324" s="628"/>
      <c r="K324" s="534"/>
    </row>
    <row r="325" spans="2:12" x14ac:dyDescent="0.2">
      <c r="B325" s="629" t="s">
        <v>114</v>
      </c>
      <c r="C325" s="1127"/>
      <c r="D325" s="1127"/>
      <c r="E325" s="1127"/>
      <c r="F325" s="1127"/>
      <c r="G325" s="1127"/>
      <c r="H325" s="630">
        <f>SUM(H326:H334)+2057+2119+2183+2249</f>
        <v>10235</v>
      </c>
      <c r="I325" s="631" t="s">
        <v>15</v>
      </c>
      <c r="J325" s="632"/>
      <c r="K325" s="534" t="s">
        <v>115</v>
      </c>
      <c r="L325" s="531" t="s">
        <v>116</v>
      </c>
    </row>
    <row r="326" spans="2:12" ht="24" x14ac:dyDescent="0.2">
      <c r="B326" s="633" t="s">
        <v>117</v>
      </c>
      <c r="C326" s="634" t="s">
        <v>118</v>
      </c>
      <c r="D326" s="635" t="s">
        <v>119</v>
      </c>
      <c r="E326" s="635" t="s">
        <v>120</v>
      </c>
      <c r="F326" s="636" t="s">
        <v>121</v>
      </c>
      <c r="G326" s="637"/>
      <c r="H326" s="588"/>
      <c r="I326" s="638"/>
      <c r="J326" s="639"/>
      <c r="K326" s="588"/>
      <c r="L326" s="531" t="s">
        <v>116</v>
      </c>
    </row>
    <row r="327" spans="2:12" ht="24" x14ac:dyDescent="0.2">
      <c r="B327" s="640" t="s">
        <v>122</v>
      </c>
      <c r="C327" s="641">
        <v>675</v>
      </c>
      <c r="D327" s="642">
        <v>1</v>
      </c>
      <c r="E327" s="643"/>
      <c r="F327" s="599">
        <v>1</v>
      </c>
      <c r="H327" s="644">
        <f>ROUND(C327*D327*F327,0)</f>
        <v>675</v>
      </c>
      <c r="J327" s="645" t="s">
        <v>123</v>
      </c>
      <c r="K327" s="646">
        <v>2057</v>
      </c>
      <c r="L327" s="531" t="s">
        <v>116</v>
      </c>
    </row>
    <row r="328" spans="2:12" ht="24" x14ac:dyDescent="0.2">
      <c r="B328" s="640" t="s">
        <v>124</v>
      </c>
      <c r="C328" s="641">
        <v>60</v>
      </c>
      <c r="D328" s="642">
        <v>2</v>
      </c>
      <c r="E328" s="643"/>
      <c r="F328" s="642">
        <v>1</v>
      </c>
      <c r="H328" s="644">
        <f>ROUND(C328*D328*F328,0)</f>
        <v>120</v>
      </c>
      <c r="J328" s="645" t="s">
        <v>125</v>
      </c>
      <c r="K328" s="646">
        <v>2119</v>
      </c>
      <c r="L328" s="531" t="s">
        <v>116</v>
      </c>
    </row>
    <row r="329" spans="2:12" ht="24" x14ac:dyDescent="0.2">
      <c r="B329" s="640" t="s">
        <v>126</v>
      </c>
      <c r="C329" s="641">
        <v>74</v>
      </c>
      <c r="D329" s="642">
        <v>1</v>
      </c>
      <c r="E329" s="642">
        <v>51</v>
      </c>
      <c r="F329" s="642">
        <v>0</v>
      </c>
      <c r="H329" s="644">
        <f>ROUND(C329*D329*E329*F329,0)</f>
        <v>0</v>
      </c>
      <c r="J329" s="645" t="s">
        <v>127</v>
      </c>
      <c r="K329" s="646">
        <v>2183</v>
      </c>
      <c r="L329" s="531" t="s">
        <v>116</v>
      </c>
    </row>
    <row r="330" spans="2:12" ht="24" x14ac:dyDescent="0.2">
      <c r="B330" s="647" t="s">
        <v>128</v>
      </c>
      <c r="C330" s="641">
        <v>163</v>
      </c>
      <c r="D330" s="642">
        <v>1</v>
      </c>
      <c r="E330" s="642">
        <v>4</v>
      </c>
      <c r="F330" s="642">
        <v>1</v>
      </c>
      <c r="H330" s="644">
        <f>ROUND(C330*D330*E330*F330,0)</f>
        <v>652</v>
      </c>
      <c r="J330" s="645" t="s">
        <v>129</v>
      </c>
      <c r="K330" s="646">
        <v>2249</v>
      </c>
      <c r="L330" s="531" t="s">
        <v>116</v>
      </c>
    </row>
    <row r="331" spans="2:12" ht="24" x14ac:dyDescent="0.2">
      <c r="B331" s="640" t="s">
        <v>130</v>
      </c>
      <c r="C331" s="641">
        <v>40</v>
      </c>
      <c r="D331" s="642">
        <v>2</v>
      </c>
      <c r="E331" s="642">
        <v>1</v>
      </c>
      <c r="F331" s="642">
        <v>1</v>
      </c>
      <c r="H331" s="644">
        <f>ROUND(C331*D331*E331*F331,0)</f>
        <v>80</v>
      </c>
      <c r="J331" s="648"/>
      <c r="K331" s="534"/>
      <c r="L331" s="531" t="s">
        <v>116</v>
      </c>
    </row>
    <row r="332" spans="2:12" ht="24" x14ac:dyDescent="0.2">
      <c r="B332" s="640" t="s">
        <v>131</v>
      </c>
      <c r="C332" s="649">
        <v>0</v>
      </c>
      <c r="D332" s="642">
        <v>0</v>
      </c>
      <c r="E332" s="643"/>
      <c r="F332" s="642">
        <v>0</v>
      </c>
      <c r="H332" s="644">
        <f>ROUND(C332*D332*F332,0)</f>
        <v>0</v>
      </c>
      <c r="J332" s="648"/>
      <c r="K332" s="534"/>
      <c r="L332" s="531" t="s">
        <v>116</v>
      </c>
    </row>
    <row r="333" spans="2:12" ht="23.25" customHeight="1" x14ac:dyDescent="0.2">
      <c r="B333" s="640" t="s">
        <v>132</v>
      </c>
      <c r="C333" s="641">
        <v>25</v>
      </c>
      <c r="D333" s="642">
        <v>1</v>
      </c>
      <c r="E333" s="642">
        <v>4</v>
      </c>
      <c r="F333" s="642">
        <v>1</v>
      </c>
      <c r="H333" s="644">
        <f>ROUND(C333*D333*E333*F333,0)</f>
        <v>100</v>
      </c>
      <c r="J333" s="648"/>
      <c r="K333" s="534"/>
      <c r="L333" s="531" t="s">
        <v>116</v>
      </c>
    </row>
    <row r="334" spans="2:12" ht="12" customHeight="1" x14ac:dyDescent="0.2">
      <c r="B334" s="1124" t="s">
        <v>350</v>
      </c>
      <c r="C334" s="1125"/>
      <c r="D334" s="1125"/>
      <c r="E334" s="1125"/>
      <c r="F334" s="1125"/>
      <c r="G334" s="1125"/>
      <c r="H334" s="1125"/>
      <c r="I334" s="1125"/>
      <c r="J334" s="1126"/>
      <c r="K334" s="534"/>
      <c r="L334" s="531" t="s">
        <v>116</v>
      </c>
    </row>
    <row r="335" spans="2:12" ht="12" customHeight="1" x14ac:dyDescent="0.2">
      <c r="B335" s="650"/>
      <c r="C335" s="650"/>
      <c r="D335" s="650"/>
      <c r="E335" s="650"/>
      <c r="F335" s="650"/>
      <c r="G335" s="650"/>
      <c r="H335" s="650"/>
      <c r="I335" s="650"/>
      <c r="J335" s="651"/>
      <c r="K335" s="534"/>
    </row>
    <row r="336" spans="2:12" x14ac:dyDescent="0.2">
      <c r="B336" s="629" t="s">
        <v>114</v>
      </c>
      <c r="C336" s="1127"/>
      <c r="D336" s="1127"/>
      <c r="E336" s="1127"/>
      <c r="F336" s="1127"/>
      <c r="G336" s="1127"/>
      <c r="H336" s="630">
        <f>SUM(H338:H344)</f>
        <v>17180</v>
      </c>
      <c r="I336" s="631" t="s">
        <v>15</v>
      </c>
      <c r="J336" s="632"/>
      <c r="K336" s="534" t="s">
        <v>115</v>
      </c>
      <c r="L336" s="531" t="s">
        <v>134</v>
      </c>
    </row>
    <row r="337" spans="2:12" ht="24" x14ac:dyDescent="0.2">
      <c r="B337" s="652" t="s">
        <v>351</v>
      </c>
      <c r="C337" s="634" t="s">
        <v>118</v>
      </c>
      <c r="D337" s="653" t="s">
        <v>119</v>
      </c>
      <c r="E337" s="653" t="s">
        <v>120</v>
      </c>
      <c r="F337" s="637" t="s">
        <v>121</v>
      </c>
      <c r="G337" s="637"/>
      <c r="H337" s="588"/>
      <c r="I337" s="638"/>
      <c r="J337" s="639"/>
      <c r="K337" s="588"/>
      <c r="L337" s="531" t="s">
        <v>134</v>
      </c>
    </row>
    <row r="338" spans="2:12" ht="24" x14ac:dyDescent="0.2">
      <c r="B338" s="640" t="s">
        <v>122</v>
      </c>
      <c r="C338" s="641">
        <v>450</v>
      </c>
      <c r="D338" s="642">
        <f>1*5</f>
        <v>5</v>
      </c>
      <c r="E338" s="643"/>
      <c r="F338" s="599">
        <v>2</v>
      </c>
      <c r="H338" s="644">
        <f>ROUND(C338*D338*F338,0)</f>
        <v>4500</v>
      </c>
      <c r="J338" s="645" t="s">
        <v>136</v>
      </c>
      <c r="K338" s="547">
        <f>17180/5</f>
        <v>3436</v>
      </c>
      <c r="L338" s="531" t="s">
        <v>134</v>
      </c>
    </row>
    <row r="339" spans="2:12" ht="24" x14ac:dyDescent="0.2">
      <c r="B339" s="640" t="s">
        <v>124</v>
      </c>
      <c r="C339" s="641">
        <v>0</v>
      </c>
      <c r="D339" s="642">
        <v>0</v>
      </c>
      <c r="E339" s="643"/>
      <c r="F339" s="642">
        <v>0</v>
      </c>
      <c r="H339" s="644">
        <f>ROUND(C339*D339*F339,0)</f>
        <v>0</v>
      </c>
      <c r="J339" s="645" t="s">
        <v>137</v>
      </c>
      <c r="K339" s="547">
        <f>17180/5</f>
        <v>3436</v>
      </c>
      <c r="L339" s="531" t="s">
        <v>134</v>
      </c>
    </row>
    <row r="340" spans="2:12" ht="24" x14ac:dyDescent="0.2">
      <c r="B340" s="640" t="s">
        <v>126</v>
      </c>
      <c r="C340" s="641">
        <v>122</v>
      </c>
      <c r="D340" s="642">
        <f>1*5</f>
        <v>5</v>
      </c>
      <c r="E340" s="642">
        <v>4</v>
      </c>
      <c r="F340" s="642">
        <v>2</v>
      </c>
      <c r="H340" s="644">
        <f>ROUND(C340*D340*E340*F340,0)</f>
        <v>4880</v>
      </c>
      <c r="J340" s="645" t="s">
        <v>138</v>
      </c>
      <c r="K340" s="547">
        <f>17180/5</f>
        <v>3436</v>
      </c>
      <c r="L340" s="531" t="s">
        <v>134</v>
      </c>
    </row>
    <row r="341" spans="2:12" ht="24" x14ac:dyDescent="0.2">
      <c r="B341" s="647" t="s">
        <v>128</v>
      </c>
      <c r="C341" s="641">
        <v>175</v>
      </c>
      <c r="D341" s="642">
        <f>1*5</f>
        <v>5</v>
      </c>
      <c r="E341" s="642">
        <v>4</v>
      </c>
      <c r="F341" s="642">
        <v>2</v>
      </c>
      <c r="H341" s="644">
        <f>ROUND(C341*D341*E341*F341,0)</f>
        <v>7000</v>
      </c>
      <c r="J341" s="645" t="s">
        <v>139</v>
      </c>
      <c r="K341" s="547">
        <f>17180/5</f>
        <v>3436</v>
      </c>
      <c r="L341" s="531" t="s">
        <v>134</v>
      </c>
    </row>
    <row r="342" spans="2:12" ht="24" x14ac:dyDescent="0.2">
      <c r="B342" s="640" t="s">
        <v>130</v>
      </c>
      <c r="C342" s="641">
        <v>40</v>
      </c>
      <c r="D342" s="642">
        <f>1*5</f>
        <v>5</v>
      </c>
      <c r="E342" s="642">
        <v>2</v>
      </c>
      <c r="F342" s="642">
        <v>2</v>
      </c>
      <c r="H342" s="644">
        <f>ROUND(C342*D342*E342*F342,0)</f>
        <v>800</v>
      </c>
      <c r="J342" s="645" t="s">
        <v>140</v>
      </c>
      <c r="K342" s="547">
        <f>17180/5</f>
        <v>3436</v>
      </c>
      <c r="L342" s="531" t="s">
        <v>134</v>
      </c>
    </row>
    <row r="343" spans="2:12" ht="24.75" thickBot="1" x14ac:dyDescent="0.25">
      <c r="B343" s="640" t="s">
        <v>131</v>
      </c>
      <c r="C343" s="649">
        <v>0</v>
      </c>
      <c r="D343" s="642">
        <v>0</v>
      </c>
      <c r="E343" s="643"/>
      <c r="F343" s="642">
        <v>0</v>
      </c>
      <c r="H343" s="644">
        <f>ROUND(C343*D343*F343,0)</f>
        <v>0</v>
      </c>
      <c r="J343" s="645" t="s">
        <v>141</v>
      </c>
      <c r="K343" s="654">
        <f>SUM(K338:K342)</f>
        <v>17180</v>
      </c>
      <c r="L343" s="531" t="s">
        <v>134</v>
      </c>
    </row>
    <row r="344" spans="2:12" ht="23.25" customHeight="1" thickTop="1" x14ac:dyDescent="0.2">
      <c r="B344" s="640" t="s">
        <v>132</v>
      </c>
      <c r="C344" s="641">
        <v>0</v>
      </c>
      <c r="D344" s="642">
        <v>0</v>
      </c>
      <c r="E344" s="642">
        <v>0</v>
      </c>
      <c r="F344" s="642">
        <v>0</v>
      </c>
      <c r="H344" s="644">
        <f>ROUND(C344*D344*E344*F344,0)</f>
        <v>0</v>
      </c>
      <c r="J344" s="648"/>
      <c r="K344" s="534"/>
      <c r="L344" s="531" t="s">
        <v>134</v>
      </c>
    </row>
    <row r="345" spans="2:12" ht="12" customHeight="1" x14ac:dyDescent="0.2">
      <c r="B345" s="1128" t="s">
        <v>352</v>
      </c>
      <c r="C345" s="1129"/>
      <c r="D345" s="1129"/>
      <c r="E345" s="1129"/>
      <c r="F345" s="1129"/>
      <c r="G345" s="655"/>
      <c r="H345" s="656"/>
      <c r="I345" s="657"/>
      <c r="J345" s="658"/>
      <c r="K345" s="534"/>
    </row>
    <row r="346" spans="2:12" ht="12" customHeight="1" x14ac:dyDescent="0.2">
      <c r="B346" s="650"/>
      <c r="C346" s="650"/>
      <c r="D346" s="650"/>
      <c r="E346" s="650"/>
      <c r="F346" s="650"/>
      <c r="G346" s="650"/>
      <c r="H346" s="659"/>
      <c r="I346" s="660"/>
      <c r="J346" s="661"/>
      <c r="K346" s="534"/>
    </row>
    <row r="347" spans="2:12" ht="12" customHeight="1" x14ac:dyDescent="0.2">
      <c r="B347" s="662" t="s">
        <v>114</v>
      </c>
      <c r="C347" s="1127"/>
      <c r="D347" s="1127"/>
      <c r="E347" s="1127"/>
      <c r="F347" s="1127"/>
      <c r="G347" s="1127"/>
      <c r="H347" s="630">
        <f>SUM(H349:H355)</f>
        <v>5544</v>
      </c>
      <c r="I347" s="663" t="s">
        <v>15</v>
      </c>
      <c r="J347" s="664"/>
      <c r="K347" s="534"/>
      <c r="L347" s="531" t="s">
        <v>134</v>
      </c>
    </row>
    <row r="348" spans="2:12" ht="36" x14ac:dyDescent="0.2">
      <c r="B348" s="652" t="s">
        <v>353</v>
      </c>
      <c r="C348" s="634" t="s">
        <v>118</v>
      </c>
      <c r="D348" s="653" t="s">
        <v>119</v>
      </c>
      <c r="E348" s="653" t="s">
        <v>120</v>
      </c>
      <c r="F348" s="637" t="s">
        <v>121</v>
      </c>
      <c r="G348" s="637"/>
      <c r="H348" s="588"/>
      <c r="I348" s="638"/>
      <c r="J348" s="639"/>
      <c r="K348" s="534"/>
      <c r="L348" s="531" t="s">
        <v>134</v>
      </c>
    </row>
    <row r="349" spans="2:12" ht="24" x14ac:dyDescent="0.2">
      <c r="B349" s="640" t="s">
        <v>122</v>
      </c>
      <c r="C349" s="641">
        <v>500</v>
      </c>
      <c r="D349" s="642">
        <f>1</f>
        <v>1</v>
      </c>
      <c r="E349" s="643"/>
      <c r="F349" s="599">
        <v>3</v>
      </c>
      <c r="H349" s="644">
        <f>ROUND(C349*D349*F349,0)</f>
        <v>1500</v>
      </c>
      <c r="J349" s="648"/>
      <c r="K349" s="534"/>
      <c r="L349" s="531" t="s">
        <v>134</v>
      </c>
    </row>
    <row r="350" spans="2:12" ht="24" x14ac:dyDescent="0.2">
      <c r="B350" s="640" t="s">
        <v>124</v>
      </c>
      <c r="C350" s="641">
        <v>0</v>
      </c>
      <c r="D350" s="642">
        <v>0</v>
      </c>
      <c r="E350" s="643"/>
      <c r="F350" s="642">
        <v>0</v>
      </c>
      <c r="H350" s="644">
        <f>ROUND(C350*D350*F350,0)</f>
        <v>0</v>
      </c>
      <c r="J350" s="648"/>
      <c r="K350" s="534"/>
      <c r="L350" s="531" t="s">
        <v>134</v>
      </c>
    </row>
    <row r="351" spans="2:12" ht="24" x14ac:dyDescent="0.2">
      <c r="B351" s="640" t="s">
        <v>126</v>
      </c>
      <c r="C351" s="641">
        <v>122</v>
      </c>
      <c r="D351" s="642">
        <v>1</v>
      </c>
      <c r="E351" s="642">
        <v>4</v>
      </c>
      <c r="F351" s="642">
        <v>3</v>
      </c>
      <c r="H351" s="644">
        <f>ROUND(C351*D351*E351*F351,0)</f>
        <v>1464</v>
      </c>
      <c r="J351" s="648"/>
      <c r="K351" s="534"/>
      <c r="L351" s="531" t="s">
        <v>134</v>
      </c>
    </row>
    <row r="352" spans="2:12" ht="24" x14ac:dyDescent="0.2">
      <c r="B352" s="647" t="s">
        <v>128</v>
      </c>
      <c r="C352" s="641">
        <v>175</v>
      </c>
      <c r="D352" s="642">
        <v>1</v>
      </c>
      <c r="E352" s="642">
        <v>4</v>
      </c>
      <c r="F352" s="642">
        <v>3</v>
      </c>
      <c r="H352" s="644">
        <f>ROUND(C352*D352*E352*F352,0)</f>
        <v>2100</v>
      </c>
      <c r="J352" s="648"/>
      <c r="K352" s="534"/>
      <c r="L352" s="531" t="s">
        <v>134</v>
      </c>
    </row>
    <row r="353" spans="2:12" ht="24" x14ac:dyDescent="0.2">
      <c r="B353" s="640" t="s">
        <v>130</v>
      </c>
      <c r="C353" s="641">
        <v>40</v>
      </c>
      <c r="D353" s="642">
        <v>1</v>
      </c>
      <c r="E353" s="642">
        <v>4</v>
      </c>
      <c r="F353" s="642">
        <v>3</v>
      </c>
      <c r="H353" s="644">
        <f>ROUND(C353*D353*E353*F353,0)</f>
        <v>480</v>
      </c>
      <c r="J353" s="648"/>
      <c r="K353" s="534"/>
      <c r="L353" s="531" t="s">
        <v>134</v>
      </c>
    </row>
    <row r="354" spans="2:12" ht="24" x14ac:dyDescent="0.2">
      <c r="B354" s="640" t="s">
        <v>131</v>
      </c>
      <c r="C354" s="649">
        <v>0</v>
      </c>
      <c r="D354" s="642">
        <v>0</v>
      </c>
      <c r="E354" s="643"/>
      <c r="F354" s="642">
        <v>0</v>
      </c>
      <c r="H354" s="644">
        <f>ROUND(C354*D354*F354,0)</f>
        <v>0</v>
      </c>
      <c r="J354" s="648"/>
      <c r="K354" s="534"/>
      <c r="L354" s="531" t="s">
        <v>134</v>
      </c>
    </row>
    <row r="355" spans="2:12" ht="24" x14ac:dyDescent="0.2">
      <c r="B355" s="640" t="s">
        <v>132</v>
      </c>
      <c r="C355" s="641">
        <v>0</v>
      </c>
      <c r="D355" s="642">
        <v>0</v>
      </c>
      <c r="E355" s="642">
        <v>0</v>
      </c>
      <c r="F355" s="642">
        <v>0</v>
      </c>
      <c r="H355" s="644">
        <f>ROUND(C355*D355*E355*F355,0)</f>
        <v>0</v>
      </c>
      <c r="J355" s="648"/>
      <c r="K355" s="534"/>
      <c r="L355" s="531" t="s">
        <v>134</v>
      </c>
    </row>
    <row r="356" spans="2:12" ht="32.25" customHeight="1" x14ac:dyDescent="0.2">
      <c r="B356" s="1128" t="s">
        <v>354</v>
      </c>
      <c r="C356" s="1129"/>
      <c r="D356" s="1129"/>
      <c r="E356" s="1129"/>
      <c r="F356" s="1129"/>
      <c r="G356" s="655"/>
      <c r="H356" s="665"/>
      <c r="I356" s="666"/>
      <c r="J356" s="667"/>
      <c r="K356" s="534"/>
    </row>
    <row r="357" spans="2:12" ht="9.9499999999999993" customHeight="1" x14ac:dyDescent="0.2">
      <c r="B357" s="668"/>
      <c r="C357" s="668"/>
      <c r="D357" s="668"/>
      <c r="E357" s="668"/>
      <c r="F357" s="668"/>
      <c r="G357" s="668"/>
      <c r="H357" s="669"/>
      <c r="I357" s="670"/>
      <c r="J357" s="671"/>
      <c r="K357" s="534"/>
    </row>
    <row r="358" spans="2:12" x14ac:dyDescent="0.2">
      <c r="B358" s="662" t="s">
        <v>114</v>
      </c>
      <c r="C358" s="1127"/>
      <c r="D358" s="1127"/>
      <c r="E358" s="1127"/>
      <c r="F358" s="1127"/>
      <c r="G358" s="1127"/>
      <c r="H358" s="630">
        <f>SUM(H360:H366)</f>
        <v>1845</v>
      </c>
      <c r="I358" s="663" t="s">
        <v>15</v>
      </c>
      <c r="J358" s="664"/>
      <c r="K358" s="534"/>
      <c r="L358" s="531" t="s">
        <v>134</v>
      </c>
    </row>
    <row r="359" spans="2:12" ht="34.5" customHeight="1" x14ac:dyDescent="0.2">
      <c r="B359" s="652" t="s">
        <v>355</v>
      </c>
      <c r="C359" s="634" t="s">
        <v>118</v>
      </c>
      <c r="D359" s="653" t="s">
        <v>119</v>
      </c>
      <c r="E359" s="653" t="s">
        <v>120</v>
      </c>
      <c r="F359" s="637" t="s">
        <v>121</v>
      </c>
      <c r="G359" s="637"/>
      <c r="H359" s="588"/>
      <c r="I359" s="638"/>
      <c r="J359" s="639"/>
      <c r="K359" s="534"/>
      <c r="L359" s="531" t="s">
        <v>134</v>
      </c>
    </row>
    <row r="360" spans="2:12" ht="24" x14ac:dyDescent="0.2">
      <c r="B360" s="640" t="s">
        <v>122</v>
      </c>
      <c r="C360" s="641">
        <v>400</v>
      </c>
      <c r="D360" s="642">
        <v>1</v>
      </c>
      <c r="E360" s="643"/>
      <c r="F360" s="599">
        <v>1</v>
      </c>
      <c r="H360" s="644">
        <f>ROUND(C360*D360*F360,0)</f>
        <v>400</v>
      </c>
      <c r="J360" s="648"/>
      <c r="L360" s="531" t="s">
        <v>134</v>
      </c>
    </row>
    <row r="361" spans="2:12" ht="24" x14ac:dyDescent="0.2">
      <c r="B361" s="640" t="s">
        <v>124</v>
      </c>
      <c r="C361" s="641">
        <v>0</v>
      </c>
      <c r="D361" s="642">
        <v>0</v>
      </c>
      <c r="E361" s="643"/>
      <c r="F361" s="642">
        <v>0</v>
      </c>
      <c r="H361" s="644">
        <f>ROUND(C361*D361*F361,0)</f>
        <v>0</v>
      </c>
      <c r="J361" s="648"/>
      <c r="L361" s="531" t="s">
        <v>134</v>
      </c>
    </row>
    <row r="362" spans="2:12" ht="24" x14ac:dyDescent="0.2">
      <c r="B362" s="640" t="s">
        <v>126</v>
      </c>
      <c r="C362" s="641">
        <v>74</v>
      </c>
      <c r="D362" s="642">
        <v>1</v>
      </c>
      <c r="E362" s="642">
        <v>5</v>
      </c>
      <c r="F362" s="642">
        <v>1</v>
      </c>
      <c r="H362" s="644">
        <f>ROUND(C362*D362*E362*F362,0)</f>
        <v>370</v>
      </c>
      <c r="J362" s="648"/>
      <c r="L362" s="531" t="s">
        <v>134</v>
      </c>
    </row>
    <row r="363" spans="2:12" ht="24" x14ac:dyDescent="0.2">
      <c r="B363" s="647" t="s">
        <v>128</v>
      </c>
      <c r="C363" s="641">
        <v>175</v>
      </c>
      <c r="D363" s="642">
        <v>1</v>
      </c>
      <c r="E363" s="642">
        <v>5</v>
      </c>
      <c r="F363" s="642">
        <v>1</v>
      </c>
      <c r="H363" s="644">
        <f>ROUND(C363*D363*E363*F363,0)</f>
        <v>875</v>
      </c>
      <c r="J363" s="648"/>
      <c r="L363" s="531" t="s">
        <v>134</v>
      </c>
    </row>
    <row r="364" spans="2:12" ht="30" customHeight="1" x14ac:dyDescent="0.2">
      <c r="B364" s="640" t="s">
        <v>130</v>
      </c>
      <c r="C364" s="641">
        <v>40</v>
      </c>
      <c r="D364" s="642">
        <v>1</v>
      </c>
      <c r="E364" s="642">
        <v>5</v>
      </c>
      <c r="F364" s="642">
        <v>1</v>
      </c>
      <c r="H364" s="644">
        <f>ROUND(C364*D364*E364*F364,0)</f>
        <v>200</v>
      </c>
      <c r="J364" s="648"/>
      <c r="L364" s="531" t="s">
        <v>134</v>
      </c>
    </row>
    <row r="365" spans="2:12" ht="24" x14ac:dyDescent="0.2">
      <c r="B365" s="640" t="s">
        <v>131</v>
      </c>
      <c r="C365" s="649">
        <v>0</v>
      </c>
      <c r="D365" s="642">
        <v>0</v>
      </c>
      <c r="E365" s="643"/>
      <c r="F365" s="642">
        <v>0</v>
      </c>
      <c r="H365" s="644">
        <f>ROUND(C365*D365*F365,0)</f>
        <v>0</v>
      </c>
      <c r="J365" s="648"/>
      <c r="L365" s="531" t="s">
        <v>134</v>
      </c>
    </row>
    <row r="366" spans="2:12" ht="37.15" customHeight="1" x14ac:dyDescent="0.2">
      <c r="B366" s="640" t="s">
        <v>132</v>
      </c>
      <c r="C366" s="641">
        <v>0</v>
      </c>
      <c r="D366" s="642">
        <v>0</v>
      </c>
      <c r="E366" s="642">
        <v>0</v>
      </c>
      <c r="F366" s="642">
        <v>0</v>
      </c>
      <c r="H366" s="644">
        <f>ROUND(C366*D366*E366*F366,0)</f>
        <v>0</v>
      </c>
      <c r="J366" s="648"/>
      <c r="L366" s="531" t="s">
        <v>134</v>
      </c>
    </row>
    <row r="367" spans="2:12" x14ac:dyDescent="0.2">
      <c r="B367" s="1138" t="s">
        <v>356</v>
      </c>
      <c r="C367" s="1139"/>
      <c r="D367" s="1139"/>
      <c r="E367" s="1139"/>
      <c r="F367" s="1139"/>
      <c r="G367" s="668"/>
      <c r="H367" s="669"/>
      <c r="I367" s="670"/>
      <c r="J367" s="672"/>
    </row>
    <row r="368" spans="2:12" x14ac:dyDescent="0.2">
      <c r="B368" s="1140" t="s">
        <v>147</v>
      </c>
      <c r="C368" s="1141"/>
      <c r="D368" s="1141"/>
      <c r="E368" s="1141"/>
      <c r="F368" s="1141"/>
      <c r="G368" s="1141"/>
      <c r="H368" s="656"/>
      <c r="I368" s="657"/>
      <c r="J368" s="658"/>
      <c r="K368" s="534"/>
    </row>
    <row r="369" spans="1:12" x14ac:dyDescent="0.2">
      <c r="B369" s="673"/>
      <c r="C369" s="673"/>
      <c r="D369" s="673"/>
      <c r="E369" s="673"/>
      <c r="F369" s="673"/>
      <c r="G369" s="673"/>
      <c r="H369" s="659"/>
      <c r="I369" s="660"/>
      <c r="J369" s="661"/>
      <c r="K369" s="534"/>
    </row>
    <row r="370" spans="1:12" x14ac:dyDescent="0.2">
      <c r="A370" s="531" t="s">
        <v>13</v>
      </c>
      <c r="B370" s="674" t="s">
        <v>148</v>
      </c>
      <c r="C370" s="1142"/>
      <c r="D370" s="1142"/>
      <c r="E370" s="1142"/>
      <c r="F370" s="1142"/>
      <c r="G370" s="1142"/>
      <c r="H370" s="675">
        <f>SUM(G371:G373)</f>
        <v>2641</v>
      </c>
      <c r="I370" s="631" t="s">
        <v>26</v>
      </c>
      <c r="J370" s="676"/>
      <c r="K370" s="534"/>
      <c r="L370" s="531" t="s">
        <v>149</v>
      </c>
    </row>
    <row r="371" spans="1:12" x14ac:dyDescent="0.2">
      <c r="B371" s="677" t="s">
        <v>150</v>
      </c>
      <c r="C371" s="634" t="s">
        <v>118</v>
      </c>
      <c r="D371" s="653" t="s">
        <v>119</v>
      </c>
      <c r="E371" s="653" t="s">
        <v>120</v>
      </c>
      <c r="F371" s="637" t="s">
        <v>121</v>
      </c>
      <c r="G371" s="637"/>
      <c r="H371" s="534"/>
      <c r="I371" s="599"/>
      <c r="J371" s="678"/>
      <c r="K371" s="534"/>
      <c r="L371" s="531" t="s">
        <v>149</v>
      </c>
    </row>
    <row r="372" spans="1:12" ht="36" x14ac:dyDescent="0.2">
      <c r="B372" s="640" t="s">
        <v>152</v>
      </c>
      <c r="C372" s="649">
        <f>0.625*12.43</f>
        <v>7.7687499999999998</v>
      </c>
      <c r="D372" s="679">
        <v>85</v>
      </c>
      <c r="E372" s="641"/>
      <c r="F372" s="642">
        <v>4</v>
      </c>
      <c r="G372" s="644">
        <f>ROUND(C372*D372*F372,0)</f>
        <v>2641</v>
      </c>
      <c r="H372" s="680" t="s">
        <v>153</v>
      </c>
      <c r="I372" s="536" t="s">
        <v>26</v>
      </c>
      <c r="J372" s="648"/>
      <c r="K372" s="534"/>
      <c r="L372" s="531" t="s">
        <v>149</v>
      </c>
    </row>
    <row r="373" spans="1:12" ht="14.25" customHeight="1" x14ac:dyDescent="0.2">
      <c r="B373" s="1143" t="s">
        <v>357</v>
      </c>
      <c r="C373" s="1144"/>
      <c r="D373" s="1144"/>
      <c r="E373" s="1144"/>
      <c r="F373" s="1144"/>
      <c r="G373" s="1144"/>
      <c r="H373" s="1144"/>
      <c r="I373" s="1144"/>
      <c r="J373" s="1145"/>
      <c r="K373" s="534"/>
      <c r="L373" s="531" t="s">
        <v>149</v>
      </c>
    </row>
    <row r="374" spans="1:12" ht="9.9499999999999993" customHeight="1" x14ac:dyDescent="0.2">
      <c r="B374" s="681"/>
      <c r="C374" s="681"/>
      <c r="D374" s="681"/>
      <c r="E374" s="681"/>
      <c r="F374" s="681"/>
      <c r="G374" s="681"/>
      <c r="H374" s="681"/>
      <c r="I374" s="681"/>
      <c r="J374" s="682"/>
      <c r="K374" s="534"/>
    </row>
    <row r="375" spans="1:12" x14ac:dyDescent="0.2">
      <c r="B375" s="674" t="s">
        <v>148</v>
      </c>
      <c r="C375" s="1142"/>
      <c r="D375" s="1142"/>
      <c r="E375" s="1142"/>
      <c r="F375" s="1142"/>
      <c r="G375" s="1142"/>
      <c r="H375" s="675">
        <f>SUM(G376:G378)</f>
        <v>7313</v>
      </c>
      <c r="I375" s="631" t="s">
        <v>15</v>
      </c>
      <c r="J375" s="676"/>
      <c r="K375" s="534"/>
      <c r="L375" s="531" t="s">
        <v>155</v>
      </c>
    </row>
    <row r="376" spans="1:12" x14ac:dyDescent="0.2">
      <c r="B376" s="677" t="s">
        <v>150</v>
      </c>
      <c r="C376" s="634" t="s">
        <v>118</v>
      </c>
      <c r="D376" s="653" t="s">
        <v>119</v>
      </c>
      <c r="E376" s="653" t="s">
        <v>120</v>
      </c>
      <c r="F376" s="637" t="s">
        <v>121</v>
      </c>
      <c r="G376" s="637"/>
      <c r="H376" s="534"/>
      <c r="I376" s="599"/>
      <c r="J376" s="678"/>
      <c r="K376" s="534"/>
      <c r="L376" s="531" t="s">
        <v>155</v>
      </c>
    </row>
    <row r="377" spans="1:12" ht="24" x14ac:dyDescent="0.2">
      <c r="B377" s="640" t="s">
        <v>131</v>
      </c>
      <c r="C377" s="649">
        <v>0.625</v>
      </c>
      <c r="D377" s="485">
        <f>(195*12)*5</f>
        <v>11700</v>
      </c>
      <c r="E377" s="643"/>
      <c r="F377" s="642">
        <v>1</v>
      </c>
      <c r="G377" s="644">
        <f>ROUND(C377*D377*F377,0)</f>
        <v>7313</v>
      </c>
      <c r="I377" s="536" t="s">
        <v>15</v>
      </c>
      <c r="J377" s="648"/>
      <c r="K377" s="534"/>
      <c r="L377" s="531" t="s">
        <v>155</v>
      </c>
    </row>
    <row r="378" spans="1:12" ht="12.75" customHeight="1" x14ac:dyDescent="0.2">
      <c r="B378" s="1146" t="s">
        <v>358</v>
      </c>
      <c r="C378" s="1125"/>
      <c r="D378" s="1125"/>
      <c r="E378" s="1125"/>
      <c r="F378" s="1125"/>
      <c r="G378" s="1125"/>
      <c r="H378" s="1125"/>
      <c r="I378" s="1125"/>
      <c r="J378" s="1126"/>
      <c r="K378" s="534"/>
      <c r="L378" s="531" t="s">
        <v>155</v>
      </c>
    </row>
    <row r="379" spans="1:12" x14ac:dyDescent="0.2">
      <c r="B379" s="641"/>
      <c r="C379" s="641"/>
      <c r="D379" s="641"/>
      <c r="E379" s="641"/>
      <c r="F379" s="534"/>
      <c r="G379" s="534"/>
      <c r="H379" s="534"/>
      <c r="I379" s="599"/>
      <c r="J379" s="683"/>
      <c r="K379" s="534"/>
    </row>
    <row r="380" spans="1:12" x14ac:dyDescent="0.2">
      <c r="B380" s="1132" t="s">
        <v>157</v>
      </c>
      <c r="C380" s="1132"/>
      <c r="D380" s="1132"/>
      <c r="E380" s="1132"/>
      <c r="F380" s="1132"/>
      <c r="G380" s="1132"/>
      <c r="H380" s="1132"/>
      <c r="I380" s="1132"/>
      <c r="J380" s="684">
        <f>ROUND(SUM(H382:H384),0)</f>
        <v>2828</v>
      </c>
    </row>
    <row r="381" spans="1:12" x14ac:dyDescent="0.2">
      <c r="B381" s="1133" t="s">
        <v>158</v>
      </c>
      <c r="C381" s="1133"/>
      <c r="D381" s="1133"/>
      <c r="E381" s="1133"/>
      <c r="F381" s="1133"/>
      <c r="G381" s="1133"/>
      <c r="H381" s="1133"/>
      <c r="I381" s="627"/>
      <c r="J381" s="628"/>
    </row>
    <row r="382" spans="1:12" x14ac:dyDescent="0.2">
      <c r="B382" s="1134" t="s">
        <v>159</v>
      </c>
      <c r="C382" s="1135"/>
      <c r="D382" s="1135"/>
      <c r="E382" s="1135"/>
      <c r="F382" s="1135"/>
      <c r="G382" s="1135"/>
      <c r="H382" s="685">
        <v>728</v>
      </c>
      <c r="I382" s="686" t="s">
        <v>15</v>
      </c>
      <c r="J382" s="687"/>
      <c r="L382" s="531" t="s">
        <v>116</v>
      </c>
    </row>
    <row r="383" spans="1:12" x14ac:dyDescent="0.2">
      <c r="B383" s="1136" t="s">
        <v>160</v>
      </c>
      <c r="C383" s="1137"/>
      <c r="D383" s="1137"/>
      <c r="E383" s="1137"/>
      <c r="F383" s="1137"/>
      <c r="G383" s="1137"/>
      <c r="H383" s="688">
        <v>2100</v>
      </c>
      <c r="I383" s="689" t="s">
        <v>15</v>
      </c>
      <c r="J383" s="690"/>
      <c r="L383" s="531" t="s">
        <v>116</v>
      </c>
    </row>
    <row r="384" spans="1:12" ht="26.25" customHeight="1" x14ac:dyDescent="0.2">
      <c r="B384" s="1124" t="s">
        <v>359</v>
      </c>
      <c r="C384" s="1125"/>
      <c r="D384" s="1125"/>
      <c r="E384" s="1125"/>
      <c r="F384" s="1125"/>
      <c r="G384" s="1125"/>
      <c r="H384" s="1125"/>
      <c r="I384" s="1125"/>
      <c r="J384" s="1126"/>
    </row>
    <row r="385" spans="2:12" x14ac:dyDescent="0.2">
      <c r="B385" s="1132" t="s">
        <v>162</v>
      </c>
      <c r="C385" s="1132"/>
      <c r="D385" s="1132"/>
      <c r="E385" s="1132"/>
      <c r="F385" s="1132"/>
      <c r="G385" s="1132"/>
      <c r="H385" s="1132"/>
      <c r="I385" s="1132"/>
      <c r="J385" s="684">
        <f>ROUND(H387,0)</f>
        <v>0</v>
      </c>
    </row>
    <row r="386" spans="2:12" x14ac:dyDescent="0.2">
      <c r="B386" s="1133" t="s">
        <v>163</v>
      </c>
      <c r="C386" s="1133"/>
      <c r="D386" s="1133"/>
      <c r="E386" s="1133"/>
      <c r="F386" s="1133"/>
      <c r="G386" s="1133"/>
      <c r="H386" s="1133"/>
      <c r="I386" s="627"/>
      <c r="J386" s="628"/>
      <c r="K386" s="534"/>
    </row>
    <row r="387" spans="2:12" x14ac:dyDescent="0.2">
      <c r="B387" s="1137" t="s">
        <v>164</v>
      </c>
      <c r="C387" s="1137"/>
      <c r="D387" s="1137"/>
      <c r="E387" s="1137"/>
      <c r="F387" s="1137"/>
      <c r="G387" s="1137"/>
      <c r="H387" s="691">
        <v>0</v>
      </c>
      <c r="I387" s="634"/>
      <c r="J387" s="692"/>
      <c r="K387" s="534"/>
    </row>
    <row r="388" spans="2:12" x14ac:dyDescent="0.2">
      <c r="B388" s="693"/>
      <c r="C388" s="693"/>
      <c r="D388" s="693"/>
      <c r="E388" s="691"/>
      <c r="F388" s="693"/>
      <c r="G388" s="693"/>
      <c r="H388" s="693"/>
      <c r="I388" s="634"/>
      <c r="J388" s="692"/>
      <c r="K388" s="534"/>
    </row>
    <row r="389" spans="2:12" x14ac:dyDescent="0.2">
      <c r="B389" s="1132" t="s">
        <v>165</v>
      </c>
      <c r="C389" s="1132"/>
      <c r="D389" s="1132"/>
      <c r="E389" s="1132"/>
      <c r="F389" s="1132"/>
      <c r="G389" s="1132"/>
      <c r="H389" s="1132"/>
      <c r="I389" s="1132"/>
      <c r="J389" s="474">
        <f>ROUND(SUBTOTAL(9,E397:E673),0)</f>
        <v>3531812</v>
      </c>
      <c r="K389" s="694">
        <v>2320208</v>
      </c>
      <c r="L389" s="695"/>
    </row>
    <row r="390" spans="2:12" x14ac:dyDescent="0.2">
      <c r="B390" s="1133" t="s">
        <v>166</v>
      </c>
      <c r="C390" s="1133"/>
      <c r="D390" s="1133"/>
      <c r="E390" s="1133"/>
      <c r="F390" s="1133"/>
      <c r="G390" s="1133"/>
      <c r="H390" s="1133"/>
      <c r="I390" s="627"/>
      <c r="J390" s="628"/>
      <c r="K390" s="696"/>
      <c r="L390" s="694"/>
    </row>
    <row r="391" spans="2:12" x14ac:dyDescent="0.2">
      <c r="B391" s="697" t="s">
        <v>167</v>
      </c>
      <c r="C391" s="1156" t="s">
        <v>360</v>
      </c>
      <c r="D391" s="1156"/>
      <c r="E391" s="1157" t="s">
        <v>169</v>
      </c>
      <c r="F391" s="1157"/>
      <c r="G391" s="698">
        <f>E399</f>
        <v>74000</v>
      </c>
      <c r="H391" s="484"/>
      <c r="I391" s="699" t="s">
        <v>15</v>
      </c>
      <c r="J391" s="700"/>
      <c r="K391" s="696"/>
      <c r="L391" s="694"/>
    </row>
    <row r="392" spans="2:12" ht="21.75" customHeight="1" x14ac:dyDescent="0.2">
      <c r="B392" s="701" t="s">
        <v>170</v>
      </c>
      <c r="C392" s="1137" t="s">
        <v>361</v>
      </c>
      <c r="D392" s="1137"/>
      <c r="E392" s="1137"/>
      <c r="F392" s="1137"/>
      <c r="G392" s="1137"/>
      <c r="H392" s="1137"/>
      <c r="I392" s="1137"/>
      <c r="J392" s="1147"/>
      <c r="K392" s="696"/>
      <c r="L392" s="694"/>
    </row>
    <row r="393" spans="2:12" x14ac:dyDescent="0.2">
      <c r="B393" s="701" t="s">
        <v>172</v>
      </c>
      <c r="C393" s="1148" t="s">
        <v>362</v>
      </c>
      <c r="D393" s="1148"/>
      <c r="E393" s="1148"/>
      <c r="F393" s="1148"/>
      <c r="G393" s="1148"/>
      <c r="H393" s="1148"/>
      <c r="I393" s="1148"/>
      <c r="J393" s="1149"/>
      <c r="K393" s="696"/>
      <c r="L393" s="694"/>
    </row>
    <row r="394" spans="2:12" s="705" customFormat="1" ht="50.1" customHeight="1" x14ac:dyDescent="0.2">
      <c r="B394" s="702" t="s">
        <v>174</v>
      </c>
      <c r="C394" s="1150" t="s">
        <v>363</v>
      </c>
      <c r="D394" s="1150"/>
      <c r="E394" s="1150"/>
      <c r="F394" s="1150"/>
      <c r="G394" s="1150"/>
      <c r="H394" s="1150"/>
      <c r="I394" s="1150"/>
      <c r="J394" s="1151"/>
      <c r="K394" s="703"/>
      <c r="L394" s="704"/>
    </row>
    <row r="395" spans="2:12" ht="11.25" customHeight="1" x14ac:dyDescent="0.2">
      <c r="B395" s="706" t="s">
        <v>176</v>
      </c>
      <c r="C395" s="1137" t="s">
        <v>364</v>
      </c>
      <c r="D395" s="1137"/>
      <c r="E395" s="1137"/>
      <c r="F395" s="1137"/>
      <c r="G395" s="1137"/>
      <c r="H395" s="1137"/>
      <c r="I395" s="1137"/>
      <c r="J395" s="1147"/>
      <c r="K395" s="534"/>
    </row>
    <row r="396" spans="2:12" x14ac:dyDescent="0.2">
      <c r="B396" s="706" t="s">
        <v>365</v>
      </c>
      <c r="C396" s="707"/>
      <c r="D396" s="707"/>
      <c r="E396" s="707"/>
      <c r="F396" s="708"/>
      <c r="G396" s="708"/>
      <c r="H396" s="708"/>
      <c r="I396" s="708"/>
      <c r="J396" s="709"/>
      <c r="K396" s="534"/>
    </row>
    <row r="397" spans="2:12" x14ac:dyDescent="0.2">
      <c r="B397" s="710" t="s">
        <v>366</v>
      </c>
      <c r="C397" s="534"/>
      <c r="D397" s="711"/>
      <c r="E397" s="688">
        <v>71100</v>
      </c>
      <c r="F397" s="534"/>
      <c r="I397" s="634" t="s">
        <v>15</v>
      </c>
      <c r="J397" s="712"/>
      <c r="K397" s="713"/>
    </row>
    <row r="398" spans="2:12" x14ac:dyDescent="0.2">
      <c r="B398" s="710" t="s">
        <v>206</v>
      </c>
      <c r="C398" s="534"/>
      <c r="D398" s="711"/>
      <c r="E398" s="688">
        <v>2900</v>
      </c>
      <c r="F398" s="534"/>
      <c r="I398" s="634" t="s">
        <v>15</v>
      </c>
      <c r="J398" s="712"/>
      <c r="K398" s="713"/>
    </row>
    <row r="399" spans="2:12" ht="12.75" thickBot="1" x14ac:dyDescent="0.25">
      <c r="B399" s="1152" t="s">
        <v>169</v>
      </c>
      <c r="C399" s="1153"/>
      <c r="D399" s="1153"/>
      <c r="E399" s="481">
        <f>SUBTOTAL(9,E397:E398)</f>
        <v>74000</v>
      </c>
      <c r="F399" s="708"/>
      <c r="I399" s="634"/>
      <c r="J399" s="712"/>
      <c r="K399" s="534"/>
    </row>
    <row r="400" spans="2:12" ht="12.75" customHeight="1" thickTop="1" x14ac:dyDescent="0.2">
      <c r="B400" s="714" t="s">
        <v>367</v>
      </c>
      <c r="C400" s="1154" t="s">
        <v>368</v>
      </c>
      <c r="D400" s="1154"/>
      <c r="E400" s="1154"/>
      <c r="F400" s="1154"/>
      <c r="G400" s="1154"/>
      <c r="H400" s="1154"/>
      <c r="I400" s="1154"/>
      <c r="J400" s="1155"/>
      <c r="K400" s="534"/>
    </row>
    <row r="401" spans="2:11" x14ac:dyDescent="0.2">
      <c r="B401" s="715"/>
      <c r="C401" s="716"/>
      <c r="D401" s="716"/>
      <c r="E401" s="716"/>
      <c r="F401" s="716"/>
      <c r="G401" s="716"/>
      <c r="H401" s="717"/>
      <c r="I401" s="718"/>
      <c r="J401" s="719"/>
      <c r="K401" s="577"/>
    </row>
    <row r="402" spans="2:11" ht="11.25" customHeight="1" x14ac:dyDescent="0.2">
      <c r="B402" s="720" t="s">
        <v>167</v>
      </c>
      <c r="C402" s="1159" t="s">
        <v>180</v>
      </c>
      <c r="D402" s="1159"/>
      <c r="E402" s="1157" t="s">
        <v>169</v>
      </c>
      <c r="F402" s="1157"/>
      <c r="G402" s="698">
        <f>E413</f>
        <v>60000</v>
      </c>
      <c r="H402" s="721"/>
      <c r="I402" s="722" t="s">
        <v>15</v>
      </c>
      <c r="J402" s="723"/>
      <c r="K402" s="577"/>
    </row>
    <row r="403" spans="2:11" x14ac:dyDescent="0.2">
      <c r="B403" s="724" t="s">
        <v>170</v>
      </c>
      <c r="C403" s="1160" t="s">
        <v>181</v>
      </c>
      <c r="D403" s="1160"/>
      <c r="E403" s="1160"/>
      <c r="F403" s="1160"/>
      <c r="G403" s="1160"/>
      <c r="H403" s="1160"/>
      <c r="I403" s="1160"/>
      <c r="J403" s="1161"/>
      <c r="K403" s="577"/>
    </row>
    <row r="404" spans="2:11" x14ac:dyDescent="0.2">
      <c r="B404" s="724" t="s">
        <v>172</v>
      </c>
      <c r="C404" s="1160" t="s">
        <v>182</v>
      </c>
      <c r="D404" s="1160"/>
      <c r="E404" s="1160"/>
      <c r="F404" s="1160"/>
      <c r="G404" s="1160"/>
      <c r="H404" s="1160"/>
      <c r="I404" s="1160"/>
      <c r="J404" s="1161"/>
      <c r="K404" s="534"/>
    </row>
    <row r="405" spans="2:11" s="726" customFormat="1" ht="105" customHeight="1" x14ac:dyDescent="0.2">
      <c r="B405" s="702" t="s">
        <v>369</v>
      </c>
      <c r="C405" s="1150" t="s">
        <v>184</v>
      </c>
      <c r="D405" s="1150"/>
      <c r="E405" s="1150"/>
      <c r="F405" s="1150"/>
      <c r="G405" s="1150"/>
      <c r="H405" s="1150"/>
      <c r="I405" s="1150"/>
      <c r="J405" s="1151"/>
      <c r="K405" s="725"/>
    </row>
    <row r="406" spans="2:11" ht="11.25" customHeight="1" x14ac:dyDescent="0.2">
      <c r="B406" s="727" t="s">
        <v>176</v>
      </c>
      <c r="C406" s="1162" t="s">
        <v>370</v>
      </c>
      <c r="D406" s="1162"/>
      <c r="E406" s="1162"/>
      <c r="F406" s="1162"/>
      <c r="G406" s="1162"/>
      <c r="H406" s="1162"/>
      <c r="I406" s="1162"/>
      <c r="J406" s="1163"/>
      <c r="K406" s="534"/>
    </row>
    <row r="407" spans="2:11" x14ac:dyDescent="0.2">
      <c r="B407" s="728" t="s">
        <v>365</v>
      </c>
      <c r="C407" s="729"/>
      <c r="D407" s="729"/>
      <c r="E407" s="729"/>
      <c r="G407" s="730"/>
      <c r="H407" s="730"/>
      <c r="I407" s="730"/>
      <c r="J407" s="731"/>
      <c r="K407" s="534"/>
    </row>
    <row r="408" spans="2:11" x14ac:dyDescent="0.2">
      <c r="B408" s="1158" t="s">
        <v>186</v>
      </c>
      <c r="C408" s="1148"/>
      <c r="D408" s="711" t="s">
        <v>13</v>
      </c>
      <c r="E408" s="688">
        <v>12000</v>
      </c>
      <c r="I408" s="634" t="s">
        <v>15</v>
      </c>
      <c r="J408" s="732"/>
      <c r="K408" s="713"/>
    </row>
    <row r="409" spans="2:11" ht="12" customHeight="1" x14ac:dyDescent="0.2">
      <c r="B409" s="1158" t="s">
        <v>186</v>
      </c>
      <c r="C409" s="1148"/>
      <c r="D409" s="711" t="s">
        <v>17</v>
      </c>
      <c r="E409" s="688">
        <v>12000</v>
      </c>
      <c r="I409" s="634" t="s">
        <v>15</v>
      </c>
      <c r="J409" s="732"/>
      <c r="K409" s="713"/>
    </row>
    <row r="410" spans="2:11" x14ac:dyDescent="0.2">
      <c r="B410" s="1158" t="s">
        <v>186</v>
      </c>
      <c r="C410" s="1148"/>
      <c r="D410" s="711" t="s">
        <v>18</v>
      </c>
      <c r="E410" s="688">
        <v>12000</v>
      </c>
      <c r="I410" s="634" t="s">
        <v>15</v>
      </c>
      <c r="J410" s="732"/>
      <c r="K410" s="713"/>
    </row>
    <row r="411" spans="2:11" x14ac:dyDescent="0.2">
      <c r="B411" s="1158" t="s">
        <v>186</v>
      </c>
      <c r="C411" s="1148"/>
      <c r="D411" s="711" t="s">
        <v>19</v>
      </c>
      <c r="E411" s="688">
        <v>12000</v>
      </c>
      <c r="I411" s="634" t="s">
        <v>15</v>
      </c>
      <c r="J411" s="732"/>
      <c r="K411" s="713"/>
    </row>
    <row r="412" spans="2:11" x14ac:dyDescent="0.2">
      <c r="B412" s="1158" t="s">
        <v>186</v>
      </c>
      <c r="C412" s="1148"/>
      <c r="D412" s="711" t="s">
        <v>20</v>
      </c>
      <c r="E412" s="688">
        <v>12000</v>
      </c>
      <c r="I412" s="634" t="s">
        <v>15</v>
      </c>
      <c r="J412" s="732"/>
      <c r="K412" s="713"/>
    </row>
    <row r="413" spans="2:11" ht="12.75" thickBot="1" x14ac:dyDescent="0.25">
      <c r="B413" s="1152" t="s">
        <v>169</v>
      </c>
      <c r="C413" s="1153"/>
      <c r="D413" s="1153"/>
      <c r="E413" s="481">
        <f>SUBTOTAL(9,E408:E412)</f>
        <v>60000</v>
      </c>
      <c r="F413" s="708"/>
      <c r="I413" s="634"/>
      <c r="J413" s="732"/>
      <c r="K413" s="534"/>
    </row>
    <row r="414" spans="2:11" ht="35.1" customHeight="1" thickTop="1" x14ac:dyDescent="0.2">
      <c r="B414" s="733" t="s">
        <v>371</v>
      </c>
      <c r="C414" s="1168" t="s">
        <v>372</v>
      </c>
      <c r="D414" s="1168"/>
      <c r="E414" s="1168"/>
      <c r="F414" s="1168"/>
      <c r="G414" s="1168"/>
      <c r="H414" s="1168"/>
      <c r="I414" s="1168"/>
      <c r="J414" s="1169"/>
      <c r="K414" s="534"/>
    </row>
    <row r="415" spans="2:11" x14ac:dyDescent="0.2">
      <c r="B415" s="734"/>
      <c r="C415" s="650"/>
      <c r="D415" s="734"/>
      <c r="E415" s="734"/>
      <c r="F415" s="734"/>
      <c r="G415" s="734"/>
      <c r="H415" s="734"/>
      <c r="I415" s="735"/>
      <c r="J415" s="736"/>
    </row>
    <row r="416" spans="2:11" ht="14.25" customHeight="1" x14ac:dyDescent="0.2">
      <c r="B416" s="737" t="s">
        <v>167</v>
      </c>
      <c r="C416" s="1159" t="s">
        <v>189</v>
      </c>
      <c r="D416" s="1159"/>
      <c r="E416" s="1172" t="s">
        <v>169</v>
      </c>
      <c r="F416" s="1172"/>
      <c r="G416" s="738">
        <f>E425</f>
        <v>627903.5</v>
      </c>
      <c r="H416" s="721"/>
      <c r="I416" s="722" t="s">
        <v>26</v>
      </c>
      <c r="J416" s="723"/>
    </row>
    <row r="417" spans="1:11" x14ac:dyDescent="0.2">
      <c r="B417" s="739" t="s">
        <v>170</v>
      </c>
      <c r="C417" s="1173" t="s">
        <v>181</v>
      </c>
      <c r="D417" s="1173"/>
      <c r="E417" s="1173"/>
      <c r="F417" s="1173"/>
      <c r="G417" s="1173"/>
      <c r="H417" s="1173"/>
      <c r="I417" s="1173"/>
      <c r="J417" s="1174"/>
      <c r="K417" s="550"/>
    </row>
    <row r="418" spans="1:11" x14ac:dyDescent="0.2">
      <c r="B418" s="739" t="s">
        <v>172</v>
      </c>
      <c r="C418" s="1173" t="s">
        <v>195</v>
      </c>
      <c r="D418" s="1173"/>
      <c r="E418" s="1173"/>
      <c r="F418" s="1173"/>
      <c r="G418" s="1173"/>
      <c r="H418" s="1173"/>
      <c r="I418" s="1173"/>
      <c r="J418" s="1174"/>
      <c r="K418" s="550"/>
    </row>
    <row r="419" spans="1:11" s="705" customFormat="1" ht="71.25" customHeight="1" x14ac:dyDescent="0.2">
      <c r="B419" s="740" t="s">
        <v>174</v>
      </c>
      <c r="C419" s="1175" t="s">
        <v>196</v>
      </c>
      <c r="D419" s="1175"/>
      <c r="E419" s="1175"/>
      <c r="F419" s="1175"/>
      <c r="G419" s="1175"/>
      <c r="H419" s="1175"/>
      <c r="I419" s="1175"/>
      <c r="J419" s="1176"/>
      <c r="K419" s="741"/>
    </row>
    <row r="420" spans="1:11" x14ac:dyDescent="0.2">
      <c r="B420" s="742" t="s">
        <v>176</v>
      </c>
      <c r="C420" s="1164"/>
      <c r="D420" s="1164"/>
      <c r="E420" s="1164"/>
      <c r="F420" s="1164"/>
      <c r="G420" s="1164"/>
      <c r="H420" s="1164"/>
      <c r="I420" s="1164"/>
      <c r="J420" s="1165"/>
      <c r="K420" s="550"/>
    </row>
    <row r="421" spans="1:11" x14ac:dyDescent="0.2">
      <c r="B421" s="706" t="s">
        <v>365</v>
      </c>
      <c r="C421" s="707"/>
      <c r="D421" s="707"/>
      <c r="E421" s="707"/>
      <c r="F421" s="743"/>
      <c r="G421" s="743"/>
      <c r="H421" s="743"/>
      <c r="I421" s="634"/>
      <c r="J421" s="732"/>
      <c r="K421" s="550"/>
    </row>
    <row r="422" spans="1:11" x14ac:dyDescent="0.2">
      <c r="A422" s="531" t="s">
        <v>13</v>
      </c>
      <c r="B422" s="640" t="s">
        <v>197</v>
      </c>
      <c r="C422" s="708"/>
      <c r="D422" s="711" t="s">
        <v>13</v>
      </c>
      <c r="E422" s="641">
        <f>111822+150780</f>
        <v>262602</v>
      </c>
      <c r="F422" s="743"/>
      <c r="I422" s="634" t="s">
        <v>26</v>
      </c>
      <c r="J422" s="732"/>
    </row>
    <row r="423" spans="1:11" x14ac:dyDescent="0.2">
      <c r="A423" s="531" t="s">
        <v>17</v>
      </c>
      <c r="B423" s="640" t="s">
        <v>197</v>
      </c>
      <c r="C423" s="708"/>
      <c r="D423" s="711" t="s">
        <v>17</v>
      </c>
      <c r="E423" s="641">
        <v>167747.25</v>
      </c>
      <c r="F423" s="743"/>
      <c r="I423" s="634" t="s">
        <v>26</v>
      </c>
      <c r="J423" s="732"/>
    </row>
    <row r="424" spans="1:11" x14ac:dyDescent="0.2">
      <c r="A424" s="531" t="s">
        <v>18</v>
      </c>
      <c r="B424" s="640" t="s">
        <v>197</v>
      </c>
      <c r="C424" s="708"/>
      <c r="D424" s="711" t="s">
        <v>18</v>
      </c>
      <c r="E424" s="641">
        <v>197554.25</v>
      </c>
      <c r="F424" s="743"/>
      <c r="I424" s="634" t="s">
        <v>26</v>
      </c>
      <c r="J424" s="732"/>
    </row>
    <row r="425" spans="1:11" ht="12.75" thickBot="1" x14ac:dyDescent="0.25">
      <c r="B425" s="1166" t="s">
        <v>169</v>
      </c>
      <c r="C425" s="1167"/>
      <c r="D425" s="1167"/>
      <c r="E425" s="483">
        <f>SUBTOTAL(9,E422:E424)</f>
        <v>627903.5</v>
      </c>
      <c r="F425" s="534"/>
      <c r="I425" s="634"/>
      <c r="J425" s="732"/>
      <c r="K425" s="534"/>
    </row>
    <row r="426" spans="1:11" ht="33.75" customHeight="1" thickTop="1" x14ac:dyDescent="0.2">
      <c r="B426" s="744" t="s">
        <v>371</v>
      </c>
      <c r="C426" s="1168" t="s">
        <v>373</v>
      </c>
      <c r="D426" s="1168"/>
      <c r="E426" s="1168"/>
      <c r="F426" s="1168"/>
      <c r="G426" s="1168"/>
      <c r="H426" s="1168"/>
      <c r="I426" s="1168"/>
      <c r="J426" s="1169"/>
      <c r="K426" s="534"/>
    </row>
    <row r="427" spans="1:11" x14ac:dyDescent="0.2">
      <c r="B427" s="734"/>
      <c r="C427" s="650"/>
      <c r="D427" s="734"/>
      <c r="E427" s="734"/>
      <c r="F427" s="734"/>
      <c r="G427" s="734"/>
      <c r="H427" s="734"/>
      <c r="I427" s="735"/>
      <c r="J427" s="736"/>
    </row>
    <row r="428" spans="1:11" ht="12" customHeight="1" x14ac:dyDescent="0.2">
      <c r="B428" s="745" t="s">
        <v>167</v>
      </c>
      <c r="C428" s="1170" t="s">
        <v>199</v>
      </c>
      <c r="D428" s="1170"/>
      <c r="E428" s="1171" t="s">
        <v>169</v>
      </c>
      <c r="F428" s="1171"/>
      <c r="G428" s="746">
        <f>E444</f>
        <v>53145</v>
      </c>
      <c r="H428" s="747"/>
      <c r="I428" s="748" t="s">
        <v>15</v>
      </c>
      <c r="J428" s="749"/>
      <c r="K428" s="534"/>
    </row>
    <row r="429" spans="1:11" x14ac:dyDescent="0.2">
      <c r="B429" s="750" t="s">
        <v>170</v>
      </c>
      <c r="C429" s="1136" t="s">
        <v>374</v>
      </c>
      <c r="D429" s="1137"/>
      <c r="E429" s="1137"/>
      <c r="F429" s="1137"/>
      <c r="G429" s="1137"/>
      <c r="H429" s="1137"/>
      <c r="I429" s="1137"/>
      <c r="J429" s="1147"/>
      <c r="K429" s="534"/>
    </row>
    <row r="430" spans="1:11" ht="12" customHeight="1" x14ac:dyDescent="0.2">
      <c r="B430" s="706" t="s">
        <v>172</v>
      </c>
      <c r="C430" s="1137" t="s">
        <v>375</v>
      </c>
      <c r="D430" s="1137"/>
      <c r="E430" s="1137"/>
      <c r="F430" s="1137"/>
      <c r="G430" s="1137"/>
      <c r="H430" s="1137"/>
      <c r="I430" s="1137"/>
      <c r="J430" s="1147"/>
      <c r="K430" s="534"/>
    </row>
    <row r="431" spans="1:11" ht="60" customHeight="1" x14ac:dyDescent="0.2">
      <c r="B431" s="751" t="s">
        <v>174</v>
      </c>
      <c r="C431" s="1137" t="s">
        <v>376</v>
      </c>
      <c r="D431" s="1137"/>
      <c r="E431" s="1137"/>
      <c r="F431" s="1137"/>
      <c r="G431" s="1137"/>
      <c r="H431" s="1137"/>
      <c r="I431" s="1137"/>
      <c r="J431" s="1147"/>
      <c r="K431" s="534"/>
    </row>
    <row r="432" spans="1:11" ht="22.5" customHeight="1" x14ac:dyDescent="0.2">
      <c r="B432" s="739" t="s">
        <v>176</v>
      </c>
      <c r="C432" s="1173" t="s">
        <v>377</v>
      </c>
      <c r="D432" s="1173"/>
      <c r="E432" s="1173"/>
      <c r="F432" s="1173"/>
      <c r="G432" s="1173"/>
      <c r="H432" s="1173"/>
      <c r="I432" s="1173"/>
      <c r="J432" s="1174"/>
      <c r="K432" s="534"/>
    </row>
    <row r="433" spans="1:12" x14ac:dyDescent="0.2">
      <c r="B433" s="706" t="s">
        <v>365</v>
      </c>
      <c r="C433" s="730"/>
      <c r="D433" s="730"/>
      <c r="E433" s="730"/>
      <c r="F433" s="743"/>
      <c r="G433" s="743"/>
      <c r="H433" s="743"/>
      <c r="I433" s="634"/>
      <c r="J433" s="732"/>
      <c r="K433" s="534"/>
    </row>
    <row r="434" spans="1:12" ht="11.25" customHeight="1" x14ac:dyDescent="0.2">
      <c r="A434" s="531" t="s">
        <v>13</v>
      </c>
      <c r="B434" s="752" t="s">
        <v>378</v>
      </c>
      <c r="C434" s="693"/>
      <c r="D434" s="743"/>
      <c r="E434" s="753">
        <v>8995</v>
      </c>
      <c r="F434" s="743"/>
      <c r="G434" s="743"/>
      <c r="H434" s="688"/>
      <c r="I434" s="634" t="s">
        <v>15</v>
      </c>
      <c r="J434" s="732"/>
      <c r="K434" s="534"/>
    </row>
    <row r="435" spans="1:12" x14ac:dyDescent="0.2">
      <c r="A435" s="531" t="s">
        <v>13</v>
      </c>
      <c r="B435" s="752" t="s">
        <v>206</v>
      </c>
      <c r="C435" s="693"/>
      <c r="D435" s="743"/>
      <c r="E435" s="482">
        <v>1634</v>
      </c>
      <c r="F435" s="743"/>
      <c r="G435" s="743"/>
      <c r="H435" s="688"/>
      <c r="I435" s="634" t="s">
        <v>15</v>
      </c>
      <c r="J435" s="732"/>
      <c r="K435" s="534"/>
    </row>
    <row r="436" spans="1:12" ht="11.25" customHeight="1" x14ac:dyDescent="0.2">
      <c r="A436" s="531" t="s">
        <v>17</v>
      </c>
      <c r="B436" s="752" t="s">
        <v>378</v>
      </c>
      <c r="C436" s="693"/>
      <c r="D436" s="743"/>
      <c r="E436" s="753">
        <v>8995</v>
      </c>
      <c r="F436" s="743"/>
      <c r="G436" s="743"/>
      <c r="H436" s="688"/>
      <c r="I436" s="634" t="s">
        <v>15</v>
      </c>
      <c r="J436" s="732"/>
      <c r="K436" s="534"/>
    </row>
    <row r="437" spans="1:12" x14ac:dyDescent="0.2">
      <c r="A437" s="531" t="s">
        <v>17</v>
      </c>
      <c r="B437" s="752" t="s">
        <v>206</v>
      </c>
      <c r="C437" s="693"/>
      <c r="D437" s="743"/>
      <c r="E437" s="482">
        <v>1634</v>
      </c>
      <c r="F437" s="743"/>
      <c r="G437" s="743"/>
      <c r="H437" s="688"/>
      <c r="I437" s="634" t="s">
        <v>15</v>
      </c>
      <c r="J437" s="732"/>
      <c r="K437" s="534"/>
    </row>
    <row r="438" spans="1:12" ht="11.25" customHeight="1" x14ac:dyDescent="0.2">
      <c r="A438" s="531" t="s">
        <v>18</v>
      </c>
      <c r="B438" s="752" t="s">
        <v>378</v>
      </c>
      <c r="C438" s="693"/>
      <c r="D438" s="743"/>
      <c r="E438" s="753">
        <v>8995</v>
      </c>
      <c r="F438" s="743"/>
      <c r="G438" s="743"/>
      <c r="H438" s="688"/>
      <c r="I438" s="634" t="s">
        <v>15</v>
      </c>
      <c r="J438" s="732"/>
      <c r="K438" s="534"/>
    </row>
    <row r="439" spans="1:12" x14ac:dyDescent="0.2">
      <c r="A439" s="531" t="s">
        <v>18</v>
      </c>
      <c r="B439" s="752" t="s">
        <v>206</v>
      </c>
      <c r="C439" s="693"/>
      <c r="D439" s="743"/>
      <c r="E439" s="482">
        <v>1634</v>
      </c>
      <c r="F439" s="743"/>
      <c r="G439" s="743"/>
      <c r="H439" s="688"/>
      <c r="I439" s="634" t="s">
        <v>15</v>
      </c>
      <c r="J439" s="732"/>
      <c r="K439" s="534"/>
    </row>
    <row r="440" spans="1:12" ht="11.25" customHeight="1" x14ac:dyDescent="0.2">
      <c r="A440" s="531" t="s">
        <v>19</v>
      </c>
      <c r="B440" s="752" t="s">
        <v>378</v>
      </c>
      <c r="C440" s="693"/>
      <c r="D440" s="743"/>
      <c r="E440" s="753">
        <v>8995</v>
      </c>
      <c r="F440" s="743"/>
      <c r="G440" s="743"/>
      <c r="H440" s="688"/>
      <c r="I440" s="634" t="s">
        <v>15</v>
      </c>
      <c r="J440" s="732"/>
      <c r="K440" s="534"/>
    </row>
    <row r="441" spans="1:12" x14ac:dyDescent="0.2">
      <c r="A441" s="531" t="s">
        <v>19</v>
      </c>
      <c r="B441" s="752" t="s">
        <v>206</v>
      </c>
      <c r="C441" s="693"/>
      <c r="D441" s="743"/>
      <c r="E441" s="482">
        <v>1634</v>
      </c>
      <c r="F441" s="743"/>
      <c r="G441" s="743"/>
      <c r="H441" s="688"/>
      <c r="I441" s="634" t="s">
        <v>15</v>
      </c>
      <c r="J441" s="732"/>
      <c r="K441" s="534"/>
    </row>
    <row r="442" spans="1:12" ht="11.25" customHeight="1" x14ac:dyDescent="0.2">
      <c r="A442" s="531" t="s">
        <v>19</v>
      </c>
      <c r="B442" s="752" t="s">
        <v>378</v>
      </c>
      <c r="C442" s="693"/>
      <c r="D442" s="743"/>
      <c r="E442" s="753">
        <v>8995</v>
      </c>
      <c r="F442" s="743"/>
      <c r="G442" s="743"/>
      <c r="H442" s="688"/>
      <c r="I442" s="634" t="s">
        <v>15</v>
      </c>
      <c r="J442" s="732"/>
      <c r="K442" s="534"/>
    </row>
    <row r="443" spans="1:12" x14ac:dyDescent="0.2">
      <c r="A443" s="531" t="s">
        <v>19</v>
      </c>
      <c r="B443" s="752" t="s">
        <v>206</v>
      </c>
      <c r="C443" s="693"/>
      <c r="D443" s="743"/>
      <c r="E443" s="482">
        <v>1634</v>
      </c>
      <c r="F443" s="743"/>
      <c r="G443" s="743"/>
      <c r="H443" s="688"/>
      <c r="I443" s="634" t="s">
        <v>15</v>
      </c>
      <c r="J443" s="732"/>
      <c r="K443" s="534"/>
    </row>
    <row r="444" spans="1:12" ht="12.75" thickBot="1" x14ac:dyDescent="0.25">
      <c r="B444" s="754" t="s">
        <v>169</v>
      </c>
      <c r="C444" s="755"/>
      <c r="D444" s="756"/>
      <c r="E444" s="757">
        <f>SUBTOTAL(9,E434:E443)</f>
        <v>53145</v>
      </c>
      <c r="F444" s="743"/>
      <c r="G444" s="743"/>
      <c r="H444" s="743"/>
      <c r="I444" s="634"/>
      <c r="J444" s="732"/>
      <c r="K444" s="534"/>
    </row>
    <row r="445" spans="1:12" ht="24.95" customHeight="1" thickTop="1" x14ac:dyDescent="0.2">
      <c r="B445" s="758" t="s">
        <v>371</v>
      </c>
      <c r="C445" s="1180" t="s">
        <v>379</v>
      </c>
      <c r="D445" s="1180"/>
      <c r="E445" s="1180"/>
      <c r="F445" s="1180"/>
      <c r="G445" s="1180"/>
      <c r="H445" s="1180"/>
      <c r="I445" s="1180"/>
      <c r="J445" s="1181"/>
      <c r="K445" s="534"/>
    </row>
    <row r="446" spans="1:12" x14ac:dyDescent="0.2">
      <c r="B446" s="734"/>
      <c r="C446" s="650"/>
      <c r="D446" s="734"/>
      <c r="E446" s="734"/>
      <c r="F446" s="734"/>
      <c r="G446" s="734"/>
      <c r="H446" s="734"/>
      <c r="I446" s="735"/>
      <c r="J446" s="736"/>
    </row>
    <row r="447" spans="1:12" x14ac:dyDescent="0.2">
      <c r="B447" s="745" t="s">
        <v>167</v>
      </c>
      <c r="C447" s="1170" t="s">
        <v>199</v>
      </c>
      <c r="D447" s="1170"/>
      <c r="E447" s="1171" t="s">
        <v>169</v>
      </c>
      <c r="F447" s="1171"/>
      <c r="G447" s="746">
        <f>E458</f>
        <v>116152</v>
      </c>
      <c r="H447" s="747"/>
      <c r="I447" s="748" t="s">
        <v>15</v>
      </c>
      <c r="J447" s="749"/>
      <c r="K447" s="534"/>
      <c r="L447" s="759"/>
    </row>
    <row r="448" spans="1:12" x14ac:dyDescent="0.2">
      <c r="B448" s="706" t="s">
        <v>170</v>
      </c>
      <c r="C448" s="708" t="s">
        <v>380</v>
      </c>
      <c r="D448" s="708"/>
      <c r="E448" s="708"/>
      <c r="F448" s="1177"/>
      <c r="G448" s="1177"/>
      <c r="H448" s="1177"/>
      <c r="I448" s="1177"/>
      <c r="J448" s="1178"/>
    </row>
    <row r="449" spans="2:11" ht="12" customHeight="1" x14ac:dyDescent="0.2">
      <c r="B449" s="706" t="s">
        <v>172</v>
      </c>
      <c r="C449" s="1137" t="s">
        <v>381</v>
      </c>
      <c r="D449" s="1137"/>
      <c r="E449" s="1137"/>
      <c r="F449" s="1137"/>
      <c r="G449" s="1137"/>
      <c r="H449" s="1137"/>
      <c r="I449" s="1137"/>
      <c r="J449" s="1147"/>
      <c r="K449" s="534"/>
    </row>
    <row r="450" spans="2:11" ht="58.5" customHeight="1" x14ac:dyDescent="0.2">
      <c r="B450" s="751" t="s">
        <v>174</v>
      </c>
      <c r="C450" s="1139" t="s">
        <v>382</v>
      </c>
      <c r="D450" s="1139"/>
      <c r="E450" s="1139"/>
      <c r="F450" s="1139"/>
      <c r="G450" s="1139"/>
      <c r="H450" s="1139"/>
      <c r="I450" s="1139"/>
      <c r="J450" s="1179"/>
      <c r="K450" s="534"/>
    </row>
    <row r="451" spans="2:11" ht="24" customHeight="1" x14ac:dyDescent="0.2">
      <c r="B451" s="739" t="s">
        <v>176</v>
      </c>
      <c r="C451" s="1173" t="s">
        <v>377</v>
      </c>
      <c r="D451" s="1173"/>
      <c r="E451" s="1173"/>
      <c r="F451" s="1173"/>
      <c r="G451" s="1173"/>
      <c r="H451" s="1173"/>
      <c r="I451" s="1173"/>
      <c r="J451" s="1174"/>
      <c r="K451" s="530"/>
    </row>
    <row r="452" spans="2:11" x14ac:dyDescent="0.2">
      <c r="B452" s="706" t="s">
        <v>365</v>
      </c>
      <c r="C452" s="707"/>
      <c r="D452" s="707"/>
      <c r="E452" s="707"/>
      <c r="F452" s="743"/>
      <c r="G452" s="743"/>
      <c r="H452" s="743"/>
      <c r="I452" s="634"/>
      <c r="J452" s="732"/>
    </row>
    <row r="453" spans="2:11" x14ac:dyDescent="0.2">
      <c r="B453" s="752" t="s">
        <v>383</v>
      </c>
      <c r="D453" s="711" t="s">
        <v>13</v>
      </c>
      <c r="E453" s="688">
        <f>22000-9770</f>
        <v>12230</v>
      </c>
      <c r="F453" s="743"/>
      <c r="G453" s="743"/>
      <c r="H453" s="688"/>
      <c r="I453" s="760" t="s">
        <v>15</v>
      </c>
      <c r="J453" s="732"/>
    </row>
    <row r="454" spans="2:11" x14ac:dyDescent="0.2">
      <c r="B454" s="752" t="s">
        <v>383</v>
      </c>
      <c r="D454" s="711" t="s">
        <v>17</v>
      </c>
      <c r="E454" s="688">
        <f>37000-6770</f>
        <v>30230</v>
      </c>
      <c r="F454" s="743"/>
      <c r="G454" s="743"/>
      <c r="H454" s="688"/>
      <c r="I454" s="760" t="s">
        <v>15</v>
      </c>
      <c r="J454" s="732"/>
    </row>
    <row r="455" spans="2:11" x14ac:dyDescent="0.2">
      <c r="B455" s="752" t="s">
        <v>383</v>
      </c>
      <c r="D455" s="711" t="s">
        <v>18</v>
      </c>
      <c r="E455" s="688">
        <f>30000-9770</f>
        <v>20230</v>
      </c>
      <c r="F455" s="743"/>
      <c r="G455" s="743"/>
      <c r="H455" s="688"/>
      <c r="I455" s="760" t="s">
        <v>15</v>
      </c>
      <c r="J455" s="732"/>
    </row>
    <row r="456" spans="2:11" x14ac:dyDescent="0.2">
      <c r="B456" s="752" t="s">
        <v>383</v>
      </c>
      <c r="D456" s="711" t="s">
        <v>19</v>
      </c>
      <c r="E456" s="688">
        <f>36300-9770</f>
        <v>26530</v>
      </c>
      <c r="F456" s="743"/>
      <c r="G456" s="743"/>
      <c r="H456" s="688"/>
      <c r="I456" s="760" t="s">
        <v>15</v>
      </c>
      <c r="J456" s="732"/>
    </row>
    <row r="457" spans="2:11" x14ac:dyDescent="0.2">
      <c r="B457" s="752" t="s">
        <v>383</v>
      </c>
      <c r="D457" s="711" t="s">
        <v>20</v>
      </c>
      <c r="E457" s="688">
        <f>36700-9768</f>
        <v>26932</v>
      </c>
      <c r="F457" s="743"/>
      <c r="G457" s="743"/>
      <c r="H457" s="688"/>
      <c r="I457" s="760" t="s">
        <v>15</v>
      </c>
      <c r="J457" s="732"/>
    </row>
    <row r="458" spans="2:11" ht="12.75" thickBot="1" x14ac:dyDescent="0.25">
      <c r="B458" s="754" t="s">
        <v>384</v>
      </c>
      <c r="C458" s="755"/>
      <c r="D458" s="756"/>
      <c r="E458" s="757">
        <f>SUBTOTAL(9,E453:E457)</f>
        <v>116152</v>
      </c>
      <c r="F458" s="743"/>
      <c r="G458" s="743"/>
      <c r="H458" s="743"/>
      <c r="I458" s="634"/>
      <c r="J458" s="732"/>
    </row>
    <row r="459" spans="2:11" ht="25.5" customHeight="1" thickTop="1" x14ac:dyDescent="0.2">
      <c r="B459" s="761" t="s">
        <v>385</v>
      </c>
      <c r="C459" s="1180" t="s">
        <v>386</v>
      </c>
      <c r="D459" s="1180"/>
      <c r="E459" s="1180"/>
      <c r="F459" s="1180"/>
      <c r="G459" s="1180"/>
      <c r="H459" s="1180"/>
      <c r="I459" s="1180"/>
      <c r="J459" s="1181"/>
    </row>
    <row r="460" spans="2:11" x14ac:dyDescent="0.2">
      <c r="B460" s="762"/>
      <c r="C460" s="763"/>
      <c r="D460" s="762"/>
      <c r="E460" s="762"/>
      <c r="F460" s="762"/>
      <c r="G460" s="762"/>
      <c r="H460" s="762"/>
      <c r="I460" s="764"/>
      <c r="J460" s="765"/>
    </row>
    <row r="461" spans="2:11" ht="11.25" customHeight="1" x14ac:dyDescent="0.2">
      <c r="B461" s="766" t="s">
        <v>387</v>
      </c>
      <c r="C461" s="1182" t="s">
        <v>388</v>
      </c>
      <c r="D461" s="1182"/>
      <c r="E461" s="1183" t="s">
        <v>169</v>
      </c>
      <c r="F461" s="1183"/>
      <c r="G461" s="767">
        <f>SUM(E472+L461+N461+P461+R461)</f>
        <v>57510</v>
      </c>
      <c r="H461" s="768"/>
      <c r="I461" s="769" t="s">
        <v>15</v>
      </c>
      <c r="J461" s="770"/>
    </row>
    <row r="462" spans="2:11" x14ac:dyDescent="0.2">
      <c r="B462" s="706" t="s">
        <v>389</v>
      </c>
      <c r="C462" s="1137" t="s">
        <v>390</v>
      </c>
      <c r="D462" s="1137"/>
      <c r="E462" s="1137"/>
      <c r="F462" s="1137"/>
      <c r="G462" s="1137"/>
      <c r="H462" s="1137"/>
      <c r="I462" s="1137"/>
      <c r="J462" s="1147"/>
    </row>
    <row r="463" spans="2:11" ht="12" customHeight="1" x14ac:dyDescent="0.2">
      <c r="B463" s="706" t="s">
        <v>172</v>
      </c>
      <c r="C463" s="1137" t="s">
        <v>391</v>
      </c>
      <c r="D463" s="1137"/>
      <c r="E463" s="1137"/>
      <c r="F463" s="1137"/>
      <c r="G463" s="1137"/>
      <c r="H463" s="1137"/>
      <c r="I463" s="1137"/>
      <c r="J463" s="1147"/>
    </row>
    <row r="464" spans="2:11" ht="57" customHeight="1" x14ac:dyDescent="0.2">
      <c r="B464" s="706" t="s">
        <v>174</v>
      </c>
      <c r="C464" s="1186" t="s">
        <v>392</v>
      </c>
      <c r="D464" s="1186"/>
      <c r="E464" s="1186"/>
      <c r="F464" s="1186"/>
      <c r="G464" s="1186"/>
      <c r="H464" s="1186"/>
      <c r="I464" s="1186"/>
      <c r="J464" s="1187"/>
    </row>
    <row r="465" spans="2:11" x14ac:dyDescent="0.2">
      <c r="B465" s="739" t="s">
        <v>393</v>
      </c>
      <c r="C465" s="1173" t="s">
        <v>394</v>
      </c>
      <c r="D465" s="1173"/>
      <c r="E465" s="1173"/>
      <c r="F465" s="1173"/>
      <c r="G465" s="1173"/>
      <c r="H465" s="1173"/>
      <c r="I465" s="1173"/>
      <c r="J465" s="1174"/>
    </row>
    <row r="466" spans="2:11" x14ac:dyDescent="0.2">
      <c r="B466" s="771" t="s">
        <v>365</v>
      </c>
      <c r="C466" s="1184" t="s">
        <v>395</v>
      </c>
      <c r="D466" s="1184"/>
      <c r="E466" s="743"/>
      <c r="F466" s="743"/>
      <c r="G466" s="743"/>
      <c r="H466" s="743"/>
      <c r="I466" s="634"/>
      <c r="J466" s="732"/>
    </row>
    <row r="467" spans="2:11" x14ac:dyDescent="0.2">
      <c r="B467" s="752" t="s">
        <v>396</v>
      </c>
      <c r="C467" s="1184">
        <v>3</v>
      </c>
      <c r="D467" s="1184"/>
      <c r="E467" s="688">
        <v>6901</v>
      </c>
      <c r="F467" s="772"/>
      <c r="G467" s="743"/>
      <c r="H467" s="688"/>
      <c r="I467" s="634" t="s">
        <v>15</v>
      </c>
      <c r="J467" s="732"/>
    </row>
    <row r="468" spans="2:11" x14ac:dyDescent="0.2">
      <c r="B468" s="752" t="s">
        <v>397</v>
      </c>
      <c r="C468" s="1184">
        <v>6</v>
      </c>
      <c r="D468" s="1184"/>
      <c r="E468" s="688">
        <v>13802</v>
      </c>
      <c r="F468" s="772"/>
      <c r="G468" s="743"/>
      <c r="H468" s="688"/>
      <c r="I468" s="634" t="s">
        <v>15</v>
      </c>
      <c r="J468" s="732"/>
    </row>
    <row r="469" spans="2:11" x14ac:dyDescent="0.2">
      <c r="B469" s="752" t="s">
        <v>398</v>
      </c>
      <c r="C469" s="1184">
        <v>6</v>
      </c>
      <c r="D469" s="1184"/>
      <c r="E469" s="688">
        <v>13802</v>
      </c>
      <c r="F469" s="772"/>
      <c r="G469" s="743"/>
      <c r="H469" s="688"/>
      <c r="I469" s="634" t="s">
        <v>15</v>
      </c>
      <c r="J469" s="732"/>
    </row>
    <row r="470" spans="2:11" x14ac:dyDescent="0.2">
      <c r="B470" s="752" t="s">
        <v>399</v>
      </c>
      <c r="C470" s="1184">
        <v>6</v>
      </c>
      <c r="D470" s="1184"/>
      <c r="E470" s="688">
        <v>13802</v>
      </c>
      <c r="F470" s="772"/>
      <c r="G470" s="743"/>
      <c r="H470" s="688"/>
      <c r="I470" s="634" t="s">
        <v>15</v>
      </c>
      <c r="J470" s="732"/>
    </row>
    <row r="471" spans="2:11" x14ac:dyDescent="0.2">
      <c r="B471" s="752" t="s">
        <v>400</v>
      </c>
      <c r="C471" s="1185">
        <v>4</v>
      </c>
      <c r="D471" s="1185"/>
      <c r="E471" s="688">
        <v>9203</v>
      </c>
      <c r="F471" s="772"/>
      <c r="G471" s="743"/>
      <c r="H471" s="688"/>
      <c r="I471" s="634" t="s">
        <v>15</v>
      </c>
      <c r="J471" s="732"/>
    </row>
    <row r="472" spans="2:11" ht="12.75" thickBot="1" x14ac:dyDescent="0.25">
      <c r="B472" s="1152" t="s">
        <v>169</v>
      </c>
      <c r="C472" s="1153"/>
      <c r="D472" s="1153"/>
      <c r="E472" s="757">
        <f>SUBTOTAL(9,E467:E471)</f>
        <v>57510</v>
      </c>
      <c r="F472" s="743"/>
      <c r="G472" s="743"/>
      <c r="H472" s="743"/>
      <c r="I472" s="634"/>
      <c r="J472" s="732"/>
    </row>
    <row r="473" spans="2:11" ht="27" customHeight="1" thickTop="1" x14ac:dyDescent="0.2">
      <c r="B473" s="758" t="s">
        <v>371</v>
      </c>
      <c r="C473" s="1180" t="s">
        <v>401</v>
      </c>
      <c r="D473" s="1180"/>
      <c r="E473" s="1180"/>
      <c r="F473" s="1180"/>
      <c r="G473" s="1180"/>
      <c r="H473" s="1180"/>
      <c r="I473" s="1180"/>
      <c r="J473" s="1181"/>
    </row>
    <row r="474" spans="2:11" x14ac:dyDescent="0.2">
      <c r="B474" s="734"/>
      <c r="C474" s="650"/>
      <c r="D474" s="734"/>
      <c r="E474" s="734"/>
      <c r="F474" s="734"/>
      <c r="G474" s="734"/>
      <c r="H474" s="734"/>
      <c r="I474" s="735"/>
      <c r="J474" s="736"/>
    </row>
    <row r="475" spans="2:11" ht="11.25" customHeight="1" x14ac:dyDescent="0.2">
      <c r="B475" s="720" t="s">
        <v>167</v>
      </c>
      <c r="C475" s="1159" t="s">
        <v>402</v>
      </c>
      <c r="D475" s="1159"/>
      <c r="E475" s="1157" t="s">
        <v>169</v>
      </c>
      <c r="F475" s="1157"/>
      <c r="G475" s="698">
        <f>E483</f>
        <v>4400</v>
      </c>
      <c r="H475" s="721"/>
      <c r="I475" s="722" t="s">
        <v>15</v>
      </c>
      <c r="J475" s="723"/>
      <c r="K475" s="577"/>
    </row>
    <row r="476" spans="2:11" x14ac:dyDescent="0.2">
      <c r="B476" s="724" t="s">
        <v>170</v>
      </c>
      <c r="C476" s="1160" t="s">
        <v>361</v>
      </c>
      <c r="D476" s="1160"/>
      <c r="E476" s="1160"/>
      <c r="F476" s="1160"/>
      <c r="G476" s="1160"/>
      <c r="H476" s="1160"/>
      <c r="I476" s="1160"/>
      <c r="J476" s="1161"/>
      <c r="K476" s="577"/>
    </row>
    <row r="477" spans="2:11" x14ac:dyDescent="0.2">
      <c r="B477" s="724" t="s">
        <v>172</v>
      </c>
      <c r="C477" s="1160" t="s">
        <v>403</v>
      </c>
      <c r="D477" s="1160"/>
      <c r="E477" s="1160"/>
      <c r="F477" s="1160"/>
      <c r="G477" s="1160"/>
      <c r="H477" s="1160"/>
      <c r="I477" s="1160"/>
      <c r="J477" s="1161"/>
      <c r="K477" s="534"/>
    </row>
    <row r="478" spans="2:11" s="726" customFormat="1" ht="24" customHeight="1" x14ac:dyDescent="0.2">
      <c r="B478" s="773" t="s">
        <v>369</v>
      </c>
      <c r="C478" s="1175" t="s">
        <v>404</v>
      </c>
      <c r="D478" s="1175"/>
      <c r="E478" s="1175"/>
      <c r="F478" s="1175"/>
      <c r="G478" s="1175"/>
      <c r="H478" s="1175"/>
      <c r="I478" s="1175"/>
      <c r="J478" s="1176"/>
      <c r="K478" s="725"/>
    </row>
    <row r="479" spans="2:11" ht="24.75" customHeight="1" x14ac:dyDescent="0.2">
      <c r="B479" s="706" t="s">
        <v>176</v>
      </c>
      <c r="C479" s="1137" t="s">
        <v>405</v>
      </c>
      <c r="D479" s="1137"/>
      <c r="E479" s="1137"/>
      <c r="F479" s="1137"/>
      <c r="G479" s="1137"/>
      <c r="H479" s="1137"/>
      <c r="I479" s="1137"/>
      <c r="J479" s="1147"/>
      <c r="K479" s="534"/>
    </row>
    <row r="480" spans="2:11" x14ac:dyDescent="0.2">
      <c r="B480" s="728" t="s">
        <v>365</v>
      </c>
      <c r="C480" s="729"/>
      <c r="D480" s="729"/>
      <c r="E480" s="729"/>
      <c r="G480" s="730"/>
      <c r="H480" s="730"/>
      <c r="I480" s="730"/>
      <c r="J480" s="731"/>
      <c r="K480" s="534"/>
    </row>
    <row r="481" spans="2:11" x14ac:dyDescent="0.2">
      <c r="B481" s="710" t="s">
        <v>406</v>
      </c>
      <c r="C481" s="534"/>
      <c r="D481" s="711" t="s">
        <v>13</v>
      </c>
      <c r="E481" s="688">
        <v>2200</v>
      </c>
      <c r="I481" s="634" t="s">
        <v>15</v>
      </c>
      <c r="J481" s="732"/>
      <c r="K481" s="713"/>
    </row>
    <row r="482" spans="2:11" ht="12" customHeight="1" x14ac:dyDescent="0.2">
      <c r="B482" s="710" t="s">
        <v>406</v>
      </c>
      <c r="C482" s="534"/>
      <c r="D482" s="711" t="s">
        <v>17</v>
      </c>
      <c r="E482" s="688">
        <v>2200</v>
      </c>
      <c r="I482" s="634" t="s">
        <v>15</v>
      </c>
      <c r="J482" s="732"/>
      <c r="K482" s="713"/>
    </row>
    <row r="483" spans="2:11" ht="12.75" thickBot="1" x14ac:dyDescent="0.25">
      <c r="B483" s="1152" t="s">
        <v>169</v>
      </c>
      <c r="C483" s="1153"/>
      <c r="D483" s="1153"/>
      <c r="E483" s="481">
        <f>SUBTOTAL(9,E481:E482)</f>
        <v>4400</v>
      </c>
      <c r="F483" s="708"/>
      <c r="I483" s="634"/>
      <c r="J483" s="732"/>
      <c r="K483" s="534"/>
    </row>
    <row r="484" spans="2:11" ht="13.5" customHeight="1" thickTop="1" x14ac:dyDescent="0.2">
      <c r="B484" s="733" t="s">
        <v>371</v>
      </c>
      <c r="C484" s="1168" t="s">
        <v>407</v>
      </c>
      <c r="D484" s="1168"/>
      <c r="E484" s="1168"/>
      <c r="F484" s="1168"/>
      <c r="G484" s="1168"/>
      <c r="H484" s="1168"/>
      <c r="I484" s="1168"/>
      <c r="J484" s="1169"/>
      <c r="K484" s="534"/>
    </row>
    <row r="485" spans="2:11" x14ac:dyDescent="0.2">
      <c r="B485" s="734"/>
      <c r="C485" s="650"/>
      <c r="D485" s="734"/>
      <c r="E485" s="734"/>
      <c r="F485" s="734"/>
      <c r="G485" s="734"/>
      <c r="H485" s="734"/>
      <c r="I485" s="735"/>
      <c r="J485" s="736"/>
    </row>
    <row r="486" spans="2:11" ht="11.25" customHeight="1" x14ac:dyDescent="0.2">
      <c r="B486" s="720" t="s">
        <v>167</v>
      </c>
      <c r="C486" s="1159" t="s">
        <v>408</v>
      </c>
      <c r="D486" s="1159"/>
      <c r="E486" s="1157" t="s">
        <v>169</v>
      </c>
      <c r="F486" s="1157"/>
      <c r="G486" s="698">
        <f>E494</f>
        <v>6000</v>
      </c>
      <c r="H486" s="721"/>
      <c r="I486" s="722" t="s">
        <v>15</v>
      </c>
      <c r="J486" s="723"/>
      <c r="K486" s="577"/>
    </row>
    <row r="487" spans="2:11" x14ac:dyDescent="0.2">
      <c r="B487" s="724" t="s">
        <v>170</v>
      </c>
      <c r="C487" s="1160" t="s">
        <v>361</v>
      </c>
      <c r="D487" s="1160"/>
      <c r="E487" s="1160"/>
      <c r="F487" s="1160"/>
      <c r="G487" s="1160"/>
      <c r="H487" s="1160"/>
      <c r="I487" s="1160"/>
      <c r="J487" s="1161"/>
      <c r="K487" s="577"/>
    </row>
    <row r="488" spans="2:11" x14ac:dyDescent="0.2">
      <c r="B488" s="724" t="s">
        <v>172</v>
      </c>
      <c r="C488" s="1160" t="s">
        <v>403</v>
      </c>
      <c r="D488" s="1160"/>
      <c r="E488" s="1160"/>
      <c r="F488" s="1160"/>
      <c r="G488" s="1160"/>
      <c r="H488" s="1160"/>
      <c r="I488" s="1160"/>
      <c r="J488" s="1161"/>
      <c r="K488" s="534"/>
    </row>
    <row r="489" spans="2:11" s="726" customFormat="1" x14ac:dyDescent="0.2">
      <c r="B489" s="773" t="s">
        <v>369</v>
      </c>
      <c r="C489" s="1175" t="s">
        <v>409</v>
      </c>
      <c r="D489" s="1175"/>
      <c r="E489" s="1175"/>
      <c r="F489" s="1175"/>
      <c r="G489" s="1175"/>
      <c r="H489" s="1175"/>
      <c r="I489" s="1175"/>
      <c r="J489" s="1176"/>
      <c r="K489" s="725"/>
    </row>
    <row r="490" spans="2:11" ht="24" customHeight="1" x14ac:dyDescent="0.2">
      <c r="B490" s="706" t="s">
        <v>176</v>
      </c>
      <c r="C490" s="1137" t="s">
        <v>410</v>
      </c>
      <c r="D490" s="1137"/>
      <c r="E490" s="1137"/>
      <c r="F490" s="1137"/>
      <c r="G490" s="1137"/>
      <c r="H490" s="1137"/>
      <c r="I490" s="1137"/>
      <c r="J490" s="1147"/>
      <c r="K490" s="534"/>
    </row>
    <row r="491" spans="2:11" x14ac:dyDescent="0.2">
      <c r="B491" s="728" t="s">
        <v>365</v>
      </c>
      <c r="C491" s="729"/>
      <c r="D491" s="729"/>
      <c r="E491" s="729"/>
      <c r="G491" s="730"/>
      <c r="H491" s="730"/>
      <c r="I491" s="730"/>
      <c r="J491" s="731"/>
      <c r="K491" s="534"/>
    </row>
    <row r="492" spans="2:11" x14ac:dyDescent="0.2">
      <c r="B492" s="710" t="s">
        <v>406</v>
      </c>
      <c r="C492" s="774"/>
      <c r="D492" s="711" t="s">
        <v>13</v>
      </c>
      <c r="E492" s="688">
        <v>3000</v>
      </c>
      <c r="I492" s="634" t="s">
        <v>15</v>
      </c>
      <c r="J492" s="732"/>
      <c r="K492" s="713"/>
    </row>
    <row r="493" spans="2:11" ht="12" customHeight="1" x14ac:dyDescent="0.2">
      <c r="B493" s="710" t="s">
        <v>406</v>
      </c>
      <c r="C493" s="774"/>
      <c r="D493" s="711" t="s">
        <v>17</v>
      </c>
      <c r="E493" s="688">
        <v>3000</v>
      </c>
      <c r="I493" s="634" t="s">
        <v>15</v>
      </c>
      <c r="J493" s="732"/>
      <c r="K493" s="713"/>
    </row>
    <row r="494" spans="2:11" ht="12.75" thickBot="1" x14ac:dyDescent="0.25">
      <c r="B494" s="1152" t="s">
        <v>169</v>
      </c>
      <c r="C494" s="1153"/>
      <c r="D494" s="1153"/>
      <c r="E494" s="481">
        <f>SUBTOTAL(9,E492:E493)</f>
        <v>6000</v>
      </c>
      <c r="F494" s="708"/>
      <c r="I494" s="634"/>
      <c r="J494" s="732"/>
      <c r="K494" s="534"/>
    </row>
    <row r="495" spans="2:11" ht="12.75" thickTop="1" x14ac:dyDescent="0.2">
      <c r="B495" s="733" t="s">
        <v>371</v>
      </c>
      <c r="C495" s="1188" t="s">
        <v>407</v>
      </c>
      <c r="D495" s="1188"/>
      <c r="E495" s="1188"/>
      <c r="F495" s="1188"/>
      <c r="G495" s="1188"/>
      <c r="H495" s="1188"/>
      <c r="I495" s="1188"/>
      <c r="J495" s="1189"/>
      <c r="K495" s="534"/>
    </row>
    <row r="496" spans="2:11" x14ac:dyDescent="0.2">
      <c r="B496" s="1190"/>
      <c r="C496" s="1190"/>
      <c r="D496" s="1190"/>
      <c r="E496" s="1190"/>
      <c r="F496" s="1190"/>
      <c r="G496" s="1190"/>
      <c r="H496" s="1190"/>
      <c r="I496" s="1190"/>
      <c r="J496" s="1190"/>
    </row>
    <row r="497" spans="2:11" ht="11.25" customHeight="1" x14ac:dyDescent="0.2">
      <c r="B497" s="720" t="s">
        <v>167</v>
      </c>
      <c r="C497" s="1191" t="s">
        <v>411</v>
      </c>
      <c r="D497" s="1191"/>
      <c r="E497" s="1191"/>
      <c r="F497" s="775" t="s">
        <v>169</v>
      </c>
      <c r="G497" s="698">
        <f>E508</f>
        <v>65898</v>
      </c>
      <c r="H497" s="721"/>
      <c r="I497" s="722" t="s">
        <v>15</v>
      </c>
      <c r="J497" s="723"/>
      <c r="K497" s="577"/>
    </row>
    <row r="498" spans="2:11" x14ac:dyDescent="0.2">
      <c r="B498" s="724" t="s">
        <v>170</v>
      </c>
      <c r="C498" s="1160" t="s">
        <v>361</v>
      </c>
      <c r="D498" s="1160"/>
      <c r="E498" s="1160"/>
      <c r="F498" s="1160"/>
      <c r="G498" s="1160"/>
      <c r="H498" s="1160"/>
      <c r="I498" s="1160"/>
      <c r="J498" s="1161"/>
      <c r="K498" s="577"/>
    </row>
    <row r="499" spans="2:11" x14ac:dyDescent="0.2">
      <c r="B499" s="724" t="s">
        <v>172</v>
      </c>
      <c r="C499" s="1160" t="s">
        <v>412</v>
      </c>
      <c r="D499" s="1160"/>
      <c r="E499" s="1160"/>
      <c r="F499" s="1160"/>
      <c r="G499" s="1160"/>
      <c r="H499" s="1160"/>
      <c r="I499" s="1160"/>
      <c r="J499" s="1161"/>
      <c r="K499" s="534"/>
    </row>
    <row r="500" spans="2:11" s="726" customFormat="1" ht="25.5" customHeight="1" x14ac:dyDescent="0.2">
      <c r="B500" s="773" t="s">
        <v>369</v>
      </c>
      <c r="C500" s="1175" t="s">
        <v>413</v>
      </c>
      <c r="D500" s="1175"/>
      <c r="E500" s="1175"/>
      <c r="F500" s="1175"/>
      <c r="G500" s="1175"/>
      <c r="H500" s="1175"/>
      <c r="I500" s="1175"/>
      <c r="J500" s="1176"/>
      <c r="K500" s="725"/>
    </row>
    <row r="501" spans="2:11" ht="22.5" customHeight="1" x14ac:dyDescent="0.2">
      <c r="B501" s="706" t="s">
        <v>176</v>
      </c>
      <c r="C501" s="1137" t="s">
        <v>414</v>
      </c>
      <c r="D501" s="1137"/>
      <c r="E501" s="1137"/>
      <c r="F501" s="1137"/>
      <c r="G501" s="1137"/>
      <c r="H501" s="1137"/>
      <c r="I501" s="1137"/>
      <c r="J501" s="1147"/>
      <c r="K501" s="534"/>
    </row>
    <row r="502" spans="2:11" x14ac:dyDescent="0.2">
      <c r="B502" s="728" t="s">
        <v>365</v>
      </c>
      <c r="C502" s="729"/>
      <c r="D502" s="729"/>
      <c r="E502" s="729"/>
      <c r="G502" s="730"/>
      <c r="H502" s="730"/>
      <c r="I502" s="730"/>
      <c r="J502" s="731"/>
      <c r="K502" s="534"/>
    </row>
    <row r="503" spans="2:11" x14ac:dyDescent="0.2">
      <c r="B503" s="710" t="s">
        <v>415</v>
      </c>
      <c r="C503" s="774"/>
      <c r="D503" s="711" t="s">
        <v>13</v>
      </c>
      <c r="E503" s="688">
        <v>8000</v>
      </c>
      <c r="I503" s="634" t="s">
        <v>15</v>
      </c>
      <c r="J503" s="732"/>
      <c r="K503" s="713"/>
    </row>
    <row r="504" spans="2:11" ht="12" customHeight="1" x14ac:dyDescent="0.2">
      <c r="B504" s="710" t="s">
        <v>415</v>
      </c>
      <c r="C504" s="774"/>
      <c r="D504" s="711" t="s">
        <v>17</v>
      </c>
      <c r="E504" s="688">
        <v>15000</v>
      </c>
      <c r="I504" s="634" t="s">
        <v>15</v>
      </c>
      <c r="J504" s="732"/>
      <c r="K504" s="713"/>
    </row>
    <row r="505" spans="2:11" x14ac:dyDescent="0.2">
      <c r="B505" s="710" t="s">
        <v>415</v>
      </c>
      <c r="C505" s="774"/>
      <c r="D505" s="711" t="s">
        <v>18</v>
      </c>
      <c r="E505" s="688">
        <v>15000</v>
      </c>
      <c r="I505" s="634" t="s">
        <v>15</v>
      </c>
      <c r="J505" s="732"/>
      <c r="K505" s="713"/>
    </row>
    <row r="506" spans="2:11" x14ac:dyDescent="0.2">
      <c r="B506" s="710" t="s">
        <v>415</v>
      </c>
      <c r="C506" s="774"/>
      <c r="D506" s="711" t="s">
        <v>19</v>
      </c>
      <c r="E506" s="688">
        <v>14898</v>
      </c>
      <c r="I506" s="634" t="s">
        <v>15</v>
      </c>
      <c r="J506" s="732"/>
      <c r="K506" s="713"/>
    </row>
    <row r="507" spans="2:11" x14ac:dyDescent="0.2">
      <c r="B507" s="710" t="s">
        <v>415</v>
      </c>
      <c r="C507" s="774"/>
      <c r="D507" s="711" t="s">
        <v>20</v>
      </c>
      <c r="E507" s="688">
        <v>13000</v>
      </c>
      <c r="I507" s="634" t="s">
        <v>15</v>
      </c>
      <c r="J507" s="732"/>
      <c r="K507" s="713"/>
    </row>
    <row r="508" spans="2:11" ht="12.75" thickBot="1" x14ac:dyDescent="0.25">
      <c r="B508" s="1152" t="s">
        <v>169</v>
      </c>
      <c r="C508" s="1153"/>
      <c r="D508" s="1153"/>
      <c r="E508" s="481">
        <f>SUBTOTAL(9,E503:E507)</f>
        <v>65898</v>
      </c>
      <c r="F508" s="708"/>
      <c r="I508" s="634"/>
      <c r="J508" s="732"/>
      <c r="K508" s="534"/>
    </row>
    <row r="509" spans="2:11" ht="23.25" customHeight="1" thickTop="1" x14ac:dyDescent="0.2">
      <c r="B509" s="733" t="s">
        <v>371</v>
      </c>
      <c r="C509" s="1168" t="s">
        <v>416</v>
      </c>
      <c r="D509" s="1168"/>
      <c r="E509" s="1168"/>
      <c r="F509" s="1168"/>
      <c r="G509" s="1168"/>
      <c r="H509" s="1168"/>
      <c r="I509" s="1168"/>
      <c r="J509" s="1169"/>
      <c r="K509" s="534"/>
    </row>
    <row r="510" spans="2:11" x14ac:dyDescent="0.2">
      <c r="B510" s="1190"/>
      <c r="C510" s="1190"/>
      <c r="D510" s="1190"/>
      <c r="E510" s="1190"/>
      <c r="F510" s="1190"/>
      <c r="G510" s="1190"/>
      <c r="H510" s="1190"/>
      <c r="I510" s="1190"/>
      <c r="J510" s="1190"/>
    </row>
    <row r="511" spans="2:11" ht="11.25" customHeight="1" x14ac:dyDescent="0.2">
      <c r="B511" s="720" t="s">
        <v>167</v>
      </c>
      <c r="C511" s="1159" t="s">
        <v>417</v>
      </c>
      <c r="D511" s="1159"/>
      <c r="E511" s="1157" t="s">
        <v>169</v>
      </c>
      <c r="F511" s="1157"/>
      <c r="G511" s="698">
        <f>E522</f>
        <v>18400</v>
      </c>
      <c r="H511" s="721"/>
      <c r="I511" s="722" t="s">
        <v>15</v>
      </c>
      <c r="J511" s="723"/>
      <c r="K511" s="577"/>
    </row>
    <row r="512" spans="2:11" x14ac:dyDescent="0.2">
      <c r="B512" s="724" t="s">
        <v>170</v>
      </c>
      <c r="C512" s="1160" t="s">
        <v>418</v>
      </c>
      <c r="D512" s="1160"/>
      <c r="E512" s="1160"/>
      <c r="F512" s="1160"/>
      <c r="G512" s="1160"/>
      <c r="H512" s="1160"/>
      <c r="I512" s="1160"/>
      <c r="J512" s="1161"/>
      <c r="K512" s="577"/>
    </row>
    <row r="513" spans="1:11" x14ac:dyDescent="0.2">
      <c r="B513" s="724" t="s">
        <v>172</v>
      </c>
      <c r="C513" s="1160" t="s">
        <v>412</v>
      </c>
      <c r="D513" s="1160"/>
      <c r="E513" s="1160"/>
      <c r="F513" s="1160"/>
      <c r="G513" s="1160"/>
      <c r="H513" s="1160"/>
      <c r="I513" s="1160"/>
      <c r="J513" s="1161"/>
      <c r="K513" s="534"/>
    </row>
    <row r="514" spans="1:11" s="726" customFormat="1" x14ac:dyDescent="0.2">
      <c r="B514" s="773" t="s">
        <v>174</v>
      </c>
      <c r="C514" s="1150" t="s">
        <v>419</v>
      </c>
      <c r="D514" s="1150"/>
      <c r="E514" s="1150"/>
      <c r="F514" s="1150"/>
      <c r="G514" s="1150"/>
      <c r="H514" s="1150"/>
      <c r="I514" s="1150"/>
      <c r="J514" s="1151"/>
      <c r="K514" s="725"/>
    </row>
    <row r="515" spans="1:11" ht="27" customHeight="1" x14ac:dyDescent="0.2">
      <c r="B515" s="706" t="s">
        <v>176</v>
      </c>
      <c r="C515" s="1137" t="s">
        <v>420</v>
      </c>
      <c r="D515" s="1137"/>
      <c r="E515" s="1137"/>
      <c r="F515" s="1137"/>
      <c r="G515" s="1137"/>
      <c r="H515" s="1137"/>
      <c r="I515" s="1137"/>
      <c r="J515" s="1147"/>
      <c r="K515" s="534"/>
    </row>
    <row r="516" spans="1:11" x14ac:dyDescent="0.2">
      <c r="B516" s="728" t="s">
        <v>365</v>
      </c>
      <c r="C516" s="729"/>
      <c r="D516" s="729"/>
      <c r="E516" s="729"/>
      <c r="G516" s="730"/>
      <c r="H516" s="730"/>
      <c r="I516" s="730"/>
      <c r="J516" s="731"/>
      <c r="K516" s="534"/>
    </row>
    <row r="517" spans="1:11" x14ac:dyDescent="0.2">
      <c r="A517" s="531" t="s">
        <v>13</v>
      </c>
      <c r="B517" s="776" t="s">
        <v>421</v>
      </c>
      <c r="C517" s="774"/>
      <c r="D517" s="711" t="s">
        <v>13</v>
      </c>
      <c r="E517" s="688">
        <v>1200</v>
      </c>
      <c r="I517" s="634" t="s">
        <v>26</v>
      </c>
      <c r="J517" s="732"/>
      <c r="K517" s="713"/>
    </row>
    <row r="518" spans="1:11" ht="12" customHeight="1" x14ac:dyDescent="0.2">
      <c r="A518" s="531" t="s">
        <v>17</v>
      </c>
      <c r="B518" s="776" t="s">
        <v>421</v>
      </c>
      <c r="C518" s="774"/>
      <c r="D518" s="711" t="s">
        <v>17</v>
      </c>
      <c r="E518" s="688">
        <v>1200</v>
      </c>
      <c r="I518" s="634" t="s">
        <v>26</v>
      </c>
      <c r="J518" s="732"/>
      <c r="K518" s="713"/>
    </row>
    <row r="519" spans="1:11" x14ac:dyDescent="0.2">
      <c r="A519" s="531" t="s">
        <v>18</v>
      </c>
      <c r="B519" s="776" t="s">
        <v>421</v>
      </c>
      <c r="C519" s="774"/>
      <c r="D519" s="711" t="s">
        <v>18</v>
      </c>
      <c r="E519" s="688">
        <v>2600</v>
      </c>
      <c r="I519" s="634" t="s">
        <v>26</v>
      </c>
      <c r="J519" s="732"/>
      <c r="K519" s="713"/>
    </row>
    <row r="520" spans="1:11" x14ac:dyDescent="0.2">
      <c r="A520" s="531" t="s">
        <v>19</v>
      </c>
      <c r="B520" s="776" t="s">
        <v>421</v>
      </c>
      <c r="C520" s="774"/>
      <c r="D520" s="711" t="s">
        <v>19</v>
      </c>
      <c r="E520" s="688">
        <v>2000</v>
      </c>
      <c r="I520" s="634" t="s">
        <v>26</v>
      </c>
      <c r="J520" s="732"/>
      <c r="K520" s="713"/>
    </row>
    <row r="521" spans="1:11" x14ac:dyDescent="0.2">
      <c r="A521" s="531" t="s">
        <v>20</v>
      </c>
      <c r="B521" s="776" t="s">
        <v>421</v>
      </c>
      <c r="C521" s="774"/>
      <c r="D521" s="711" t="s">
        <v>20</v>
      </c>
      <c r="E521" s="688">
        <v>11400</v>
      </c>
      <c r="I521" s="634" t="s">
        <v>26</v>
      </c>
      <c r="J521" s="732"/>
      <c r="K521" s="713"/>
    </row>
    <row r="522" spans="1:11" ht="12.75" thickBot="1" x14ac:dyDescent="0.25">
      <c r="B522" s="1152" t="s">
        <v>169</v>
      </c>
      <c r="C522" s="1153"/>
      <c r="D522" s="1153"/>
      <c r="E522" s="481">
        <f>SUBTOTAL(9,E517:E521)</f>
        <v>18400</v>
      </c>
      <c r="F522" s="708"/>
      <c r="I522" s="634"/>
      <c r="J522" s="732"/>
      <c r="K522" s="713"/>
    </row>
    <row r="523" spans="1:11" ht="24" customHeight="1" thickTop="1" x14ac:dyDescent="0.2">
      <c r="B523" s="733" t="s">
        <v>371</v>
      </c>
      <c r="C523" s="1168" t="s">
        <v>422</v>
      </c>
      <c r="D523" s="1168"/>
      <c r="E523" s="1168"/>
      <c r="F523" s="1168"/>
      <c r="G523" s="1168"/>
      <c r="H523" s="1168"/>
      <c r="I523" s="1168"/>
      <c r="J523" s="1169"/>
      <c r="K523" s="534"/>
    </row>
    <row r="524" spans="1:11" x14ac:dyDescent="0.2">
      <c r="B524" s="734"/>
      <c r="C524" s="650"/>
      <c r="D524" s="734"/>
      <c r="E524" s="734"/>
      <c r="F524" s="734"/>
      <c r="G524" s="734"/>
      <c r="H524" s="734"/>
      <c r="I524" s="735"/>
      <c r="J524" s="736"/>
    </row>
    <row r="525" spans="1:11" ht="11.25" customHeight="1" x14ac:dyDescent="0.2">
      <c r="B525" s="720" t="s">
        <v>167</v>
      </c>
      <c r="C525" s="1159" t="s">
        <v>423</v>
      </c>
      <c r="D525" s="1159"/>
      <c r="E525" s="1157" t="s">
        <v>169</v>
      </c>
      <c r="F525" s="1157"/>
      <c r="G525" s="698">
        <f>E536</f>
        <v>10000</v>
      </c>
      <c r="H525" s="721"/>
      <c r="I525" s="722" t="s">
        <v>15</v>
      </c>
      <c r="J525" s="723"/>
      <c r="K525" s="577"/>
    </row>
    <row r="526" spans="1:11" x14ac:dyDescent="0.2">
      <c r="B526" s="724" t="s">
        <v>170</v>
      </c>
      <c r="C526" s="1160" t="s">
        <v>424</v>
      </c>
      <c r="D526" s="1160"/>
      <c r="E526" s="1160"/>
      <c r="F526" s="1160"/>
      <c r="G526" s="1160"/>
      <c r="H526" s="1160"/>
      <c r="I526" s="1160"/>
      <c r="J526" s="1161"/>
      <c r="K526" s="577"/>
    </row>
    <row r="527" spans="1:11" x14ac:dyDescent="0.2">
      <c r="B527" s="724" t="s">
        <v>172</v>
      </c>
      <c r="C527" s="1160" t="s">
        <v>412</v>
      </c>
      <c r="D527" s="1160"/>
      <c r="E527" s="1160"/>
      <c r="F527" s="1160"/>
      <c r="G527" s="1160"/>
      <c r="H527" s="1160"/>
      <c r="I527" s="1160"/>
      <c r="J527" s="1161"/>
      <c r="K527" s="534"/>
    </row>
    <row r="528" spans="1:11" s="726" customFormat="1" ht="24" customHeight="1" x14ac:dyDescent="0.2">
      <c r="B528" s="773" t="s">
        <v>369</v>
      </c>
      <c r="C528" s="1150" t="s">
        <v>425</v>
      </c>
      <c r="D528" s="1150"/>
      <c r="E528" s="1150"/>
      <c r="F528" s="1150"/>
      <c r="G528" s="1150"/>
      <c r="H528" s="1150"/>
      <c r="I528" s="1150"/>
      <c r="J528" s="1151"/>
      <c r="K528" s="725"/>
    </row>
    <row r="529" spans="2:11" ht="11.25" customHeight="1" x14ac:dyDescent="0.2">
      <c r="B529" s="706" t="s">
        <v>176</v>
      </c>
      <c r="C529" s="1137" t="s">
        <v>426</v>
      </c>
      <c r="D529" s="1137"/>
      <c r="E529" s="1137"/>
      <c r="F529" s="1137"/>
      <c r="G529" s="1137"/>
      <c r="H529" s="1137"/>
      <c r="I529" s="1137"/>
      <c r="J529" s="1147"/>
      <c r="K529" s="534"/>
    </row>
    <row r="530" spans="2:11" x14ac:dyDescent="0.2">
      <c r="B530" s="728" t="s">
        <v>365</v>
      </c>
      <c r="C530" s="729"/>
      <c r="D530" s="729"/>
      <c r="E530" s="729"/>
      <c r="G530" s="730"/>
      <c r="H530" s="730"/>
      <c r="I530" s="730"/>
      <c r="J530" s="731"/>
      <c r="K530" s="534"/>
    </row>
    <row r="531" spans="2:11" x14ac:dyDescent="0.2">
      <c r="B531" s="710" t="s">
        <v>427</v>
      </c>
      <c r="C531" s="774"/>
      <c r="D531" s="711" t="s">
        <v>13</v>
      </c>
      <c r="E531" s="688">
        <v>2000</v>
      </c>
      <c r="I531" s="634" t="s">
        <v>15</v>
      </c>
      <c r="J531" s="732"/>
      <c r="K531" s="713"/>
    </row>
    <row r="532" spans="2:11" ht="12" customHeight="1" x14ac:dyDescent="0.2">
      <c r="B532" s="710" t="s">
        <v>427</v>
      </c>
      <c r="C532" s="774"/>
      <c r="D532" s="711" t="s">
        <v>17</v>
      </c>
      <c r="E532" s="688">
        <v>2000</v>
      </c>
      <c r="I532" s="634" t="s">
        <v>15</v>
      </c>
      <c r="J532" s="732"/>
      <c r="K532" s="713"/>
    </row>
    <row r="533" spans="2:11" x14ac:dyDescent="0.2">
      <c r="B533" s="710" t="s">
        <v>427</v>
      </c>
      <c r="C533" s="774"/>
      <c r="D533" s="711" t="s">
        <v>18</v>
      </c>
      <c r="E533" s="688">
        <v>2000</v>
      </c>
      <c r="I533" s="634" t="s">
        <v>15</v>
      </c>
      <c r="J533" s="732"/>
      <c r="K533" s="713"/>
    </row>
    <row r="534" spans="2:11" x14ac:dyDescent="0.2">
      <c r="B534" s="710" t="s">
        <v>427</v>
      </c>
      <c r="C534" s="774"/>
      <c r="D534" s="711" t="s">
        <v>19</v>
      </c>
      <c r="E534" s="688">
        <v>2000</v>
      </c>
      <c r="I534" s="634" t="s">
        <v>15</v>
      </c>
      <c r="J534" s="732"/>
      <c r="K534" s="713"/>
    </row>
    <row r="535" spans="2:11" x14ac:dyDescent="0.2">
      <c r="B535" s="710" t="s">
        <v>427</v>
      </c>
      <c r="C535" s="774"/>
      <c r="D535" s="711" t="s">
        <v>20</v>
      </c>
      <c r="E535" s="688">
        <v>2000</v>
      </c>
      <c r="I535" s="634" t="s">
        <v>15</v>
      </c>
      <c r="J535" s="732"/>
      <c r="K535" s="713"/>
    </row>
    <row r="536" spans="2:11" ht="12.75" thickBot="1" x14ac:dyDescent="0.25">
      <c r="B536" s="1152" t="s">
        <v>384</v>
      </c>
      <c r="C536" s="1153"/>
      <c r="D536" s="1153"/>
      <c r="E536" s="481">
        <f>SUBTOTAL(9,E531:E535)</f>
        <v>10000</v>
      </c>
      <c r="F536" s="708"/>
      <c r="I536" s="634"/>
      <c r="J536" s="732"/>
      <c r="K536" s="534"/>
    </row>
    <row r="537" spans="2:11" ht="15" customHeight="1" thickTop="1" x14ac:dyDescent="0.2">
      <c r="B537" s="777" t="s">
        <v>428</v>
      </c>
      <c r="C537" s="1168" t="s">
        <v>429</v>
      </c>
      <c r="D537" s="1168"/>
      <c r="E537" s="1168"/>
      <c r="F537" s="1168"/>
      <c r="G537" s="1168"/>
      <c r="H537" s="1168"/>
      <c r="I537" s="1168"/>
      <c r="J537" s="1169"/>
      <c r="K537" s="534"/>
    </row>
    <row r="538" spans="2:11" x14ac:dyDescent="0.2">
      <c r="B538" s="734"/>
      <c r="C538" s="650"/>
      <c r="D538" s="734"/>
      <c r="E538" s="734"/>
      <c r="F538" s="734"/>
      <c r="G538" s="734"/>
      <c r="H538" s="734"/>
      <c r="I538" s="735"/>
      <c r="J538" s="736"/>
    </row>
    <row r="539" spans="2:11" ht="11.25" customHeight="1" x14ac:dyDescent="0.2">
      <c r="B539" s="720" t="s">
        <v>167</v>
      </c>
      <c r="C539" s="1159" t="s">
        <v>430</v>
      </c>
      <c r="D539" s="1159"/>
      <c r="E539" s="1157" t="s">
        <v>169</v>
      </c>
      <c r="F539" s="1157"/>
      <c r="G539" s="698">
        <f>E555</f>
        <v>26000</v>
      </c>
      <c r="H539" s="721"/>
      <c r="I539" s="722" t="s">
        <v>15</v>
      </c>
      <c r="J539" s="723"/>
      <c r="K539" s="577"/>
    </row>
    <row r="540" spans="2:11" x14ac:dyDescent="0.2">
      <c r="B540" s="724" t="s">
        <v>170</v>
      </c>
      <c r="C540" s="1160" t="s">
        <v>424</v>
      </c>
      <c r="D540" s="1160"/>
      <c r="E540" s="1160"/>
      <c r="F540" s="1160"/>
      <c r="G540" s="1160"/>
      <c r="H540" s="1160"/>
      <c r="I540" s="1160"/>
      <c r="J540" s="1161"/>
      <c r="K540" s="577"/>
    </row>
    <row r="541" spans="2:11" x14ac:dyDescent="0.2">
      <c r="B541" s="724" t="s">
        <v>172</v>
      </c>
      <c r="C541" s="1160" t="s">
        <v>412</v>
      </c>
      <c r="D541" s="1160"/>
      <c r="E541" s="1160"/>
      <c r="F541" s="1160"/>
      <c r="G541" s="1160"/>
      <c r="H541" s="1160"/>
      <c r="I541" s="1160"/>
      <c r="J541" s="1161"/>
      <c r="K541" s="534"/>
    </row>
    <row r="542" spans="2:11" s="726" customFormat="1" ht="37.5" customHeight="1" x14ac:dyDescent="0.2">
      <c r="B542" s="740" t="s">
        <v>369</v>
      </c>
      <c r="C542" s="1150" t="s">
        <v>431</v>
      </c>
      <c r="D542" s="1150"/>
      <c r="E542" s="1150"/>
      <c r="F542" s="1150"/>
      <c r="G542" s="1150"/>
      <c r="H542" s="1150"/>
      <c r="I542" s="1150"/>
      <c r="J542" s="1151"/>
      <c r="K542" s="725"/>
    </row>
    <row r="543" spans="2:11" ht="23.25" customHeight="1" x14ac:dyDescent="0.2">
      <c r="B543" s="706" t="s">
        <v>176</v>
      </c>
      <c r="C543" s="1137" t="s">
        <v>432</v>
      </c>
      <c r="D543" s="1137"/>
      <c r="E543" s="1137"/>
      <c r="F543" s="1137"/>
      <c r="G543" s="1137"/>
      <c r="H543" s="1137"/>
      <c r="I543" s="1137"/>
      <c r="J543" s="1147"/>
      <c r="K543" s="534"/>
    </row>
    <row r="544" spans="2:11" x14ac:dyDescent="0.2">
      <c r="B544" s="728" t="s">
        <v>365</v>
      </c>
      <c r="C544" s="729"/>
      <c r="D544" s="729"/>
      <c r="E544" s="729"/>
      <c r="G544" s="730"/>
      <c r="H544" s="730"/>
      <c r="I544" s="730"/>
      <c r="J544" s="731"/>
      <c r="K544" s="534"/>
    </row>
    <row r="545" spans="1:11" x14ac:dyDescent="0.2">
      <c r="A545" s="531" t="s">
        <v>13</v>
      </c>
      <c r="B545" s="710" t="s">
        <v>433</v>
      </c>
      <c r="C545" s="534"/>
      <c r="D545" s="546" t="s">
        <v>13</v>
      </c>
      <c r="E545" s="688">
        <v>3450</v>
      </c>
      <c r="I545" s="634" t="s">
        <v>26</v>
      </c>
      <c r="J545" s="732"/>
      <c r="K545" s="713"/>
    </row>
    <row r="546" spans="1:11" x14ac:dyDescent="0.2">
      <c r="A546" s="531" t="s">
        <v>13</v>
      </c>
      <c r="B546" s="710" t="s">
        <v>434</v>
      </c>
      <c r="C546" s="534"/>
      <c r="D546" s="546" t="s">
        <v>13</v>
      </c>
      <c r="E546" s="688">
        <v>400</v>
      </c>
      <c r="I546" s="634" t="s">
        <v>26</v>
      </c>
      <c r="J546" s="732"/>
      <c r="K546" s="713"/>
    </row>
    <row r="547" spans="1:11" x14ac:dyDescent="0.2">
      <c r="A547" s="531" t="s">
        <v>17</v>
      </c>
      <c r="B547" s="710" t="s">
        <v>433</v>
      </c>
      <c r="C547" s="534"/>
      <c r="D547" s="546" t="s">
        <v>17</v>
      </c>
      <c r="E547" s="688">
        <v>4800</v>
      </c>
      <c r="I547" s="634" t="s">
        <v>26</v>
      </c>
      <c r="J547" s="732"/>
      <c r="K547" s="713"/>
    </row>
    <row r="548" spans="1:11" x14ac:dyDescent="0.2">
      <c r="A548" s="531" t="s">
        <v>17</v>
      </c>
      <c r="B548" s="710" t="s">
        <v>434</v>
      </c>
      <c r="C548" s="534"/>
      <c r="D548" s="546" t="s">
        <v>17</v>
      </c>
      <c r="E548" s="688">
        <v>400</v>
      </c>
      <c r="I548" s="634" t="s">
        <v>26</v>
      </c>
      <c r="J548" s="732"/>
      <c r="K548" s="713"/>
    </row>
    <row r="549" spans="1:11" ht="12" customHeight="1" x14ac:dyDescent="0.2">
      <c r="A549" s="531" t="s">
        <v>18</v>
      </c>
      <c r="B549" s="710" t="s">
        <v>433</v>
      </c>
      <c r="C549" s="534"/>
      <c r="D549" s="546" t="s">
        <v>18</v>
      </c>
      <c r="E549" s="688">
        <v>5025</v>
      </c>
      <c r="I549" s="634" t="s">
        <v>26</v>
      </c>
      <c r="J549" s="732"/>
      <c r="K549" s="713"/>
    </row>
    <row r="550" spans="1:11" x14ac:dyDescent="0.2">
      <c r="A550" s="531" t="s">
        <v>18</v>
      </c>
      <c r="B550" s="710" t="s">
        <v>434</v>
      </c>
      <c r="C550" s="534"/>
      <c r="D550" s="546" t="s">
        <v>18</v>
      </c>
      <c r="E550" s="688">
        <v>400</v>
      </c>
      <c r="I550" s="634" t="s">
        <v>26</v>
      </c>
      <c r="J550" s="732"/>
      <c r="K550" s="713"/>
    </row>
    <row r="551" spans="1:11" ht="12" customHeight="1" x14ac:dyDescent="0.2">
      <c r="A551" s="531" t="s">
        <v>19</v>
      </c>
      <c r="B551" s="710" t="s">
        <v>433</v>
      </c>
      <c r="C551" s="534"/>
      <c r="D551" s="546" t="s">
        <v>19</v>
      </c>
      <c r="E551" s="688">
        <v>5275</v>
      </c>
      <c r="I551" s="634" t="s">
        <v>26</v>
      </c>
      <c r="J551" s="732"/>
      <c r="K551" s="713"/>
    </row>
    <row r="552" spans="1:11" x14ac:dyDescent="0.2">
      <c r="A552" s="531" t="s">
        <v>19</v>
      </c>
      <c r="B552" s="710" t="s">
        <v>434</v>
      </c>
      <c r="C552" s="534"/>
      <c r="D552" s="546" t="s">
        <v>19</v>
      </c>
      <c r="E552" s="688">
        <v>400</v>
      </c>
      <c r="I552" s="634" t="s">
        <v>26</v>
      </c>
      <c r="J552" s="732"/>
      <c r="K552" s="713"/>
    </row>
    <row r="553" spans="1:11" ht="12" customHeight="1" x14ac:dyDescent="0.2">
      <c r="A553" s="531" t="s">
        <v>20</v>
      </c>
      <c r="B553" s="710" t="s">
        <v>433</v>
      </c>
      <c r="C553" s="534"/>
      <c r="D553" s="546" t="s">
        <v>20</v>
      </c>
      <c r="E553" s="688">
        <v>5450</v>
      </c>
      <c r="I553" s="634" t="s">
        <v>26</v>
      </c>
      <c r="J553" s="732"/>
      <c r="K553" s="713"/>
    </row>
    <row r="554" spans="1:11" x14ac:dyDescent="0.2">
      <c r="A554" s="531" t="s">
        <v>20</v>
      </c>
      <c r="B554" s="1158" t="s">
        <v>434</v>
      </c>
      <c r="C554" s="1148"/>
      <c r="D554" s="546" t="s">
        <v>20</v>
      </c>
      <c r="E554" s="688">
        <v>400</v>
      </c>
      <c r="I554" s="634" t="s">
        <v>26</v>
      </c>
      <c r="J554" s="732"/>
      <c r="K554" s="713"/>
    </row>
    <row r="555" spans="1:11" ht="12.75" thickBot="1" x14ac:dyDescent="0.25">
      <c r="B555" s="1152" t="s">
        <v>169</v>
      </c>
      <c r="C555" s="1153"/>
      <c r="D555" s="1153"/>
      <c r="E555" s="481">
        <f>SUBTOTAL(9,E545:E554)</f>
        <v>26000</v>
      </c>
      <c r="F555" s="708"/>
      <c r="I555" s="634"/>
      <c r="J555" s="732"/>
      <c r="K555" s="534"/>
    </row>
    <row r="556" spans="1:11" ht="12.75" thickTop="1" x14ac:dyDescent="0.2">
      <c r="B556" s="733" t="s">
        <v>371</v>
      </c>
      <c r="C556" s="1188" t="s">
        <v>435</v>
      </c>
      <c r="D556" s="1188"/>
      <c r="E556" s="1188"/>
      <c r="F556" s="1188"/>
      <c r="G556" s="1188"/>
      <c r="H556" s="1188"/>
      <c r="I556" s="1188"/>
      <c r="J556" s="1189"/>
      <c r="K556" s="534"/>
    </row>
    <row r="557" spans="1:11" x14ac:dyDescent="0.2">
      <c r="B557" s="734"/>
      <c r="C557" s="650"/>
      <c r="D557" s="734"/>
      <c r="E557" s="734"/>
      <c r="F557" s="734"/>
      <c r="G557" s="734"/>
      <c r="H557" s="734"/>
      <c r="I557" s="735"/>
      <c r="J557" s="736"/>
    </row>
    <row r="558" spans="1:11" ht="11.25" customHeight="1" x14ac:dyDescent="0.2">
      <c r="B558" s="720" t="s">
        <v>167</v>
      </c>
      <c r="C558" s="1159" t="s">
        <v>430</v>
      </c>
      <c r="D558" s="1159"/>
      <c r="E558" s="1157" t="s">
        <v>169</v>
      </c>
      <c r="F558" s="1157"/>
      <c r="G558" s="698">
        <f>E574</f>
        <v>82000</v>
      </c>
      <c r="H558" s="721"/>
      <c r="I558" s="722" t="s">
        <v>15</v>
      </c>
      <c r="J558" s="723"/>
      <c r="K558" s="577"/>
    </row>
    <row r="559" spans="1:11" x14ac:dyDescent="0.2">
      <c r="B559" s="724" t="s">
        <v>170</v>
      </c>
      <c r="C559" s="1160" t="s">
        <v>424</v>
      </c>
      <c r="D559" s="1160"/>
      <c r="E559" s="1160"/>
      <c r="F559" s="1160"/>
      <c r="G559" s="1160"/>
      <c r="H559" s="1160"/>
      <c r="I559" s="1160"/>
      <c r="J559" s="1161"/>
      <c r="K559" s="577"/>
    </row>
    <row r="560" spans="1:11" x14ac:dyDescent="0.2">
      <c r="B560" s="724" t="s">
        <v>172</v>
      </c>
      <c r="C560" s="1160" t="s">
        <v>412</v>
      </c>
      <c r="D560" s="1160"/>
      <c r="E560" s="1160"/>
      <c r="F560" s="1160"/>
      <c r="G560" s="1160"/>
      <c r="H560" s="1160"/>
      <c r="I560" s="1160"/>
      <c r="J560" s="1161"/>
      <c r="K560" s="534"/>
    </row>
    <row r="561" spans="2:11" s="726" customFormat="1" ht="36.75" customHeight="1" x14ac:dyDescent="0.2">
      <c r="B561" s="740" t="s">
        <v>369</v>
      </c>
      <c r="C561" s="1195" t="s">
        <v>436</v>
      </c>
      <c r="D561" s="1150"/>
      <c r="E561" s="1150"/>
      <c r="F561" s="1150"/>
      <c r="G561" s="1150"/>
      <c r="H561" s="1150"/>
      <c r="I561" s="1150"/>
      <c r="J561" s="1151"/>
      <c r="K561" s="725"/>
    </row>
    <row r="562" spans="2:11" ht="11.25" customHeight="1" x14ac:dyDescent="0.2">
      <c r="B562" s="706" t="s">
        <v>176</v>
      </c>
      <c r="C562" s="1137" t="s">
        <v>432</v>
      </c>
      <c r="D562" s="1137"/>
      <c r="E562" s="1137"/>
      <c r="F562" s="1137"/>
      <c r="G562" s="1137"/>
      <c r="H562" s="1137"/>
      <c r="I562" s="1137"/>
      <c r="J562" s="1147"/>
      <c r="K562" s="534"/>
    </row>
    <row r="563" spans="2:11" x14ac:dyDescent="0.2">
      <c r="B563" s="728" t="s">
        <v>365</v>
      </c>
      <c r="C563" s="729"/>
      <c r="D563" s="729"/>
      <c r="E563" s="729"/>
      <c r="G563" s="730"/>
      <c r="H563" s="730"/>
      <c r="I563" s="730"/>
      <c r="J563" s="731"/>
      <c r="K563" s="534"/>
    </row>
    <row r="564" spans="2:11" x14ac:dyDescent="0.2">
      <c r="B564" s="710" t="s">
        <v>433</v>
      </c>
      <c r="C564" s="534"/>
      <c r="D564" s="546" t="s">
        <v>13</v>
      </c>
      <c r="E564" s="688">
        <v>10350</v>
      </c>
      <c r="I564" s="634" t="s">
        <v>15</v>
      </c>
      <c r="J564" s="732"/>
      <c r="K564" s="713"/>
    </row>
    <row r="565" spans="2:11" x14ac:dyDescent="0.2">
      <c r="B565" s="710" t="s">
        <v>434</v>
      </c>
      <c r="C565" s="534"/>
      <c r="D565" s="546" t="s">
        <v>13</v>
      </c>
      <c r="E565" s="688">
        <v>2000</v>
      </c>
      <c r="I565" s="634" t="s">
        <v>15</v>
      </c>
      <c r="J565" s="732"/>
      <c r="K565" s="713"/>
    </row>
    <row r="566" spans="2:11" x14ac:dyDescent="0.2">
      <c r="B566" s="710" t="s">
        <v>433</v>
      </c>
      <c r="C566" s="534"/>
      <c r="D566" s="546" t="s">
        <v>17</v>
      </c>
      <c r="E566" s="688">
        <v>14400</v>
      </c>
      <c r="I566" s="634" t="s">
        <v>15</v>
      </c>
      <c r="J566" s="732"/>
      <c r="K566" s="713"/>
    </row>
    <row r="567" spans="2:11" x14ac:dyDescent="0.2">
      <c r="B567" s="710" t="s">
        <v>434</v>
      </c>
      <c r="C567" s="534"/>
      <c r="D567" s="546" t="s">
        <v>17</v>
      </c>
      <c r="E567" s="688">
        <v>2000</v>
      </c>
      <c r="I567" s="634" t="s">
        <v>15</v>
      </c>
      <c r="J567" s="732"/>
      <c r="K567" s="713"/>
    </row>
    <row r="568" spans="2:11" ht="12" customHeight="1" x14ac:dyDescent="0.2">
      <c r="B568" s="710" t="s">
        <v>433</v>
      </c>
      <c r="C568" s="534"/>
      <c r="D568" s="546" t="s">
        <v>18</v>
      </c>
      <c r="E568" s="688">
        <v>15075</v>
      </c>
      <c r="I568" s="634" t="s">
        <v>15</v>
      </c>
      <c r="J568" s="732"/>
      <c r="K568" s="713"/>
    </row>
    <row r="569" spans="2:11" x14ac:dyDescent="0.2">
      <c r="B569" s="710" t="s">
        <v>434</v>
      </c>
      <c r="C569" s="534"/>
      <c r="D569" s="546" t="s">
        <v>18</v>
      </c>
      <c r="E569" s="688">
        <v>2000</v>
      </c>
      <c r="I569" s="634" t="s">
        <v>15</v>
      </c>
      <c r="J569" s="732"/>
      <c r="K569" s="713"/>
    </row>
    <row r="570" spans="2:11" ht="12" customHeight="1" x14ac:dyDescent="0.2">
      <c r="B570" s="710" t="s">
        <v>433</v>
      </c>
      <c r="C570" s="534"/>
      <c r="D570" s="546" t="s">
        <v>19</v>
      </c>
      <c r="E570" s="688">
        <v>15825</v>
      </c>
      <c r="I570" s="634" t="s">
        <v>15</v>
      </c>
      <c r="J570" s="732"/>
      <c r="K570" s="713"/>
    </row>
    <row r="571" spans="2:11" x14ac:dyDescent="0.2">
      <c r="B571" s="710" t="s">
        <v>434</v>
      </c>
      <c r="C571" s="534"/>
      <c r="D571" s="546" t="s">
        <v>19</v>
      </c>
      <c r="E571" s="688">
        <v>2000</v>
      </c>
      <c r="I571" s="634" t="s">
        <v>15</v>
      </c>
      <c r="J571" s="732"/>
      <c r="K571" s="713"/>
    </row>
    <row r="572" spans="2:11" ht="12" customHeight="1" x14ac:dyDescent="0.2">
      <c r="B572" s="710" t="s">
        <v>433</v>
      </c>
      <c r="C572" s="534"/>
      <c r="D572" s="546" t="s">
        <v>20</v>
      </c>
      <c r="E572" s="688">
        <v>16350</v>
      </c>
      <c r="I572" s="634" t="s">
        <v>15</v>
      </c>
      <c r="J572" s="732"/>
      <c r="K572" s="713"/>
    </row>
    <row r="573" spans="2:11" x14ac:dyDescent="0.2">
      <c r="B573" s="710" t="s">
        <v>434</v>
      </c>
      <c r="C573" s="534"/>
      <c r="D573" s="546" t="s">
        <v>20</v>
      </c>
      <c r="E573" s="688">
        <v>2000</v>
      </c>
      <c r="I573" s="634" t="s">
        <v>15</v>
      </c>
      <c r="J573" s="732"/>
      <c r="K573" s="713"/>
    </row>
    <row r="574" spans="2:11" ht="12.75" thickBot="1" x14ac:dyDescent="0.25">
      <c r="B574" s="1152" t="s">
        <v>169</v>
      </c>
      <c r="C574" s="1153"/>
      <c r="D574" s="1153"/>
      <c r="E574" s="481">
        <f>SUBTOTAL(9,E564:E573)</f>
        <v>82000</v>
      </c>
      <c r="F574" s="708"/>
      <c r="I574" s="634"/>
      <c r="J574" s="732"/>
      <c r="K574" s="534"/>
    </row>
    <row r="575" spans="2:11" ht="12.75" customHeight="1" thickTop="1" x14ac:dyDescent="0.2">
      <c r="B575" s="733" t="s">
        <v>371</v>
      </c>
      <c r="C575" s="1188" t="s">
        <v>437</v>
      </c>
      <c r="D575" s="1188"/>
      <c r="E575" s="1188"/>
      <c r="F575" s="1188"/>
      <c r="G575" s="1188"/>
      <c r="H575" s="1188"/>
      <c r="I575" s="1188"/>
      <c r="J575" s="1189"/>
      <c r="K575" s="534"/>
    </row>
    <row r="576" spans="2:11" ht="9.9499999999999993" customHeight="1" x14ac:dyDescent="0.2">
      <c r="B576" s="734"/>
      <c r="C576" s="650"/>
      <c r="D576" s="734"/>
      <c r="E576" s="734"/>
      <c r="F576" s="734"/>
      <c r="G576" s="734"/>
      <c r="H576" s="734"/>
      <c r="I576" s="735"/>
      <c r="J576" s="736"/>
    </row>
    <row r="577" spans="1:12" x14ac:dyDescent="0.2">
      <c r="B577" s="745" t="s">
        <v>438</v>
      </c>
      <c r="C577" s="1192"/>
      <c r="D577" s="1192"/>
      <c r="E577" s="1171" t="s">
        <v>169</v>
      </c>
      <c r="F577" s="1171"/>
      <c r="G577" s="778">
        <f>E588</f>
        <v>700000</v>
      </c>
      <c r="H577" s="746"/>
      <c r="I577" s="747"/>
      <c r="J577" s="749"/>
      <c r="K577" s="779"/>
    </row>
    <row r="578" spans="1:12" x14ac:dyDescent="0.2">
      <c r="B578" s="1193" t="s">
        <v>439</v>
      </c>
      <c r="C578" s="1194"/>
      <c r="D578" s="1194"/>
      <c r="E578" s="1194"/>
      <c r="F578" s="693"/>
      <c r="G578" s="693"/>
      <c r="H578" s="780"/>
      <c r="I578" s="780"/>
      <c r="J578" s="781"/>
      <c r="K578" s="779"/>
    </row>
    <row r="579" spans="1:12" ht="21.75" customHeight="1" x14ac:dyDescent="0.2">
      <c r="B579" s="706" t="s">
        <v>172</v>
      </c>
      <c r="C579" s="1201"/>
      <c r="D579" s="1201"/>
      <c r="E579" s="1201"/>
      <c r="F579" s="1201"/>
      <c r="G579" s="1201"/>
      <c r="H579" s="1201"/>
      <c r="I579" s="1201"/>
      <c r="J579" s="1202"/>
      <c r="K579" s="534"/>
    </row>
    <row r="580" spans="1:12" ht="34.5" customHeight="1" x14ac:dyDescent="0.2">
      <c r="B580" s="706" t="s">
        <v>174</v>
      </c>
      <c r="C580" s="1203" t="s">
        <v>440</v>
      </c>
      <c r="D580" s="1203"/>
      <c r="E580" s="1203"/>
      <c r="F580" s="1203"/>
      <c r="G580" s="1203"/>
      <c r="H580" s="1203"/>
      <c r="I580" s="1203"/>
      <c r="J580" s="1204"/>
      <c r="K580" s="534"/>
    </row>
    <row r="581" spans="1:12" ht="12" customHeight="1" x14ac:dyDescent="0.2">
      <c r="B581" s="750" t="s">
        <v>176</v>
      </c>
      <c r="C581" s="1136" t="s">
        <v>441</v>
      </c>
      <c r="D581" s="1137"/>
      <c r="E581" s="1137"/>
      <c r="F581" s="1137"/>
      <c r="G581" s="1137"/>
      <c r="H581" s="1137"/>
      <c r="I581" s="1137"/>
      <c r="J581" s="1147"/>
      <c r="K581" s="534"/>
    </row>
    <row r="582" spans="1:12" x14ac:dyDescent="0.2">
      <c r="B582" s="771" t="s">
        <v>365</v>
      </c>
      <c r="C582" s="693"/>
      <c r="D582" s="743"/>
      <c r="E582" s="743"/>
      <c r="F582" s="743"/>
      <c r="G582" s="743"/>
      <c r="H582" s="743"/>
      <c r="I582" s="693"/>
      <c r="J582" s="732"/>
      <c r="K582" s="534"/>
    </row>
    <row r="583" spans="1:12" x14ac:dyDescent="0.2">
      <c r="A583" s="531" t="s">
        <v>13</v>
      </c>
      <c r="B583" s="1205" t="s">
        <v>236</v>
      </c>
      <c r="C583" s="1206"/>
      <c r="D583" s="1206"/>
      <c r="E583" s="480">
        <v>380000</v>
      </c>
      <c r="F583" s="782"/>
      <c r="G583" s="782"/>
      <c r="H583" s="783"/>
      <c r="I583" s="784" t="s">
        <v>26</v>
      </c>
      <c r="J583" s="785"/>
      <c r="K583" s="713"/>
    </row>
    <row r="584" spans="1:12" ht="24" customHeight="1" x14ac:dyDescent="0.2">
      <c r="A584" s="531" t="s">
        <v>17</v>
      </c>
      <c r="B584" s="1196" t="s">
        <v>237</v>
      </c>
      <c r="C584" s="1197"/>
      <c r="D584" s="1197"/>
      <c r="E584" s="480">
        <v>80000</v>
      </c>
      <c r="F584" s="782"/>
      <c r="G584" s="782"/>
      <c r="H584" s="783"/>
      <c r="I584" s="784" t="s">
        <v>26</v>
      </c>
      <c r="J584" s="785"/>
      <c r="K584" s="534"/>
    </row>
    <row r="585" spans="1:12" ht="24" customHeight="1" x14ac:dyDescent="0.2">
      <c r="A585" s="531" t="s">
        <v>18</v>
      </c>
      <c r="B585" s="1196" t="s">
        <v>237</v>
      </c>
      <c r="C585" s="1197"/>
      <c r="D585" s="1197"/>
      <c r="E585" s="480">
        <v>80000</v>
      </c>
      <c r="F585" s="782"/>
      <c r="G585" s="782"/>
      <c r="H585" s="783"/>
      <c r="I585" s="784" t="s">
        <v>26</v>
      </c>
      <c r="J585" s="785"/>
      <c r="K585" s="534"/>
    </row>
    <row r="586" spans="1:12" ht="24" customHeight="1" x14ac:dyDescent="0.2">
      <c r="A586" s="531" t="s">
        <v>19</v>
      </c>
      <c r="B586" s="1196" t="s">
        <v>237</v>
      </c>
      <c r="C586" s="1197"/>
      <c r="D586" s="1197"/>
      <c r="E586" s="480">
        <v>80000</v>
      </c>
      <c r="F586" s="782"/>
      <c r="G586" s="782"/>
      <c r="H586" s="783"/>
      <c r="I586" s="784" t="s">
        <v>26</v>
      </c>
      <c r="J586" s="785"/>
      <c r="K586" s="534"/>
    </row>
    <row r="587" spans="1:12" ht="26.25" customHeight="1" x14ac:dyDescent="0.2">
      <c r="A587" s="531" t="s">
        <v>20</v>
      </c>
      <c r="B587" s="1196" t="s">
        <v>237</v>
      </c>
      <c r="C587" s="1197"/>
      <c r="D587" s="1197"/>
      <c r="E587" s="479">
        <v>80000</v>
      </c>
      <c r="F587" s="782"/>
      <c r="G587" s="782"/>
      <c r="H587" s="783"/>
      <c r="I587" s="784" t="s">
        <v>26</v>
      </c>
      <c r="J587" s="785"/>
      <c r="K587" s="534"/>
    </row>
    <row r="588" spans="1:12" ht="12.75" thickBot="1" x14ac:dyDescent="0.25">
      <c r="B588" s="754" t="s">
        <v>169</v>
      </c>
      <c r="C588" s="755"/>
      <c r="D588" s="756"/>
      <c r="E588" s="757">
        <f>SUBTOTAL(9,E583:E587)</f>
        <v>700000</v>
      </c>
      <c r="F588" s="743"/>
      <c r="G588" s="743"/>
      <c r="H588" s="743"/>
      <c r="I588" s="693"/>
      <c r="J588" s="732"/>
      <c r="K588" s="534"/>
    </row>
    <row r="589" spans="1:12" ht="21.75" customHeight="1" thickTop="1" x14ac:dyDescent="0.2">
      <c r="B589" s="758" t="s">
        <v>371</v>
      </c>
      <c r="C589" s="1180" t="s">
        <v>442</v>
      </c>
      <c r="D589" s="1180"/>
      <c r="E589" s="1180"/>
      <c r="F589" s="1180"/>
      <c r="G589" s="1180"/>
      <c r="H589" s="1180"/>
      <c r="I589" s="1180"/>
      <c r="J589" s="1181"/>
      <c r="K589" s="534"/>
    </row>
    <row r="590" spans="1:12" ht="9.9499999999999993" customHeight="1" x14ac:dyDescent="0.2">
      <c r="B590" s="650"/>
      <c r="C590" s="650"/>
      <c r="D590" s="650"/>
      <c r="E590" s="650"/>
      <c r="F590" s="650"/>
      <c r="G590" s="650"/>
      <c r="H590" s="650"/>
      <c r="I590" s="735"/>
      <c r="J590" s="651"/>
      <c r="K590" s="534"/>
    </row>
    <row r="591" spans="1:12" x14ac:dyDescent="0.2">
      <c r="B591" s="786" t="s">
        <v>167</v>
      </c>
      <c r="C591" s="1198" t="s">
        <v>240</v>
      </c>
      <c r="D591" s="1198"/>
      <c r="E591" s="1183" t="s">
        <v>169</v>
      </c>
      <c r="F591" s="1183"/>
      <c r="G591" s="767">
        <f>E602</f>
        <v>194249</v>
      </c>
      <c r="H591" s="768"/>
      <c r="I591" s="787" t="s">
        <v>26</v>
      </c>
      <c r="J591" s="770"/>
      <c r="K591" s="577"/>
      <c r="L591" s="531" t="s">
        <v>149</v>
      </c>
    </row>
    <row r="592" spans="1:12" ht="15" customHeight="1" x14ac:dyDescent="0.2">
      <c r="B592" s="788" t="s">
        <v>248</v>
      </c>
      <c r="C592" s="789"/>
      <c r="D592" s="789"/>
      <c r="E592" s="789"/>
      <c r="F592" s="790"/>
      <c r="G592" s="790"/>
      <c r="H592" s="791"/>
      <c r="I592" s="792"/>
      <c r="J592" s="793"/>
      <c r="K592" s="577"/>
    </row>
    <row r="593" spans="1:16" ht="15" customHeight="1" x14ac:dyDescent="0.2">
      <c r="B593" s="788" t="s">
        <v>172</v>
      </c>
      <c r="C593" s="1199" t="s">
        <v>443</v>
      </c>
      <c r="D593" s="1199"/>
      <c r="E593" s="1199"/>
      <c r="F593" s="1199"/>
      <c r="G593" s="1199"/>
      <c r="H593" s="1199"/>
      <c r="I593" s="1199"/>
      <c r="J593" s="1200"/>
      <c r="K593" s="534"/>
    </row>
    <row r="594" spans="1:16" ht="24.95" customHeight="1" x14ac:dyDescent="0.2">
      <c r="B594" s="794" t="s">
        <v>444</v>
      </c>
      <c r="C594" s="1212" t="s">
        <v>445</v>
      </c>
      <c r="D594" s="1212"/>
      <c r="E594" s="1212"/>
      <c r="F594" s="1212"/>
      <c r="G594" s="1212"/>
      <c r="H594" s="1212"/>
      <c r="I594" s="1212"/>
      <c r="J594" s="1213"/>
      <c r="K594" s="534"/>
    </row>
    <row r="595" spans="1:16" ht="12" customHeight="1" x14ac:dyDescent="0.2">
      <c r="B595" s="795" t="s">
        <v>446</v>
      </c>
      <c r="C595" s="1214"/>
      <c r="D595" s="1214"/>
      <c r="E595" s="1214"/>
      <c r="F595" s="1214"/>
      <c r="G595" s="1214"/>
      <c r="H595" s="1214"/>
      <c r="I595" s="1214"/>
      <c r="J595" s="1215"/>
      <c r="K595" s="534"/>
    </row>
    <row r="596" spans="1:16" x14ac:dyDescent="0.2">
      <c r="B596" s="796" t="s">
        <v>365</v>
      </c>
      <c r="C596" s="668"/>
      <c r="D596" s="797"/>
      <c r="E596" s="797"/>
      <c r="F596" s="797"/>
      <c r="G596" s="797"/>
      <c r="H596" s="797"/>
      <c r="I596" s="670"/>
      <c r="J596" s="798"/>
      <c r="K596" s="534"/>
    </row>
    <row r="597" spans="1:16" x14ac:dyDescent="0.2">
      <c r="A597" s="531" t="s">
        <v>13</v>
      </c>
      <c r="B597" s="799" t="s">
        <v>245</v>
      </c>
      <c r="C597" s="668"/>
      <c r="D597" s="797"/>
      <c r="E597" s="800">
        <v>34249</v>
      </c>
      <c r="F597" s="797"/>
      <c r="G597" s="797"/>
      <c r="H597" s="801"/>
      <c r="I597" s="670" t="s">
        <v>26</v>
      </c>
      <c r="J597" s="798"/>
      <c r="K597" s="713"/>
    </row>
    <row r="598" spans="1:16" x14ac:dyDescent="0.2">
      <c r="A598" s="531" t="s">
        <v>17</v>
      </c>
      <c r="B598" s="799" t="s">
        <v>245</v>
      </c>
      <c r="C598" s="668"/>
      <c r="D598" s="797"/>
      <c r="E598" s="800">
        <v>40000</v>
      </c>
      <c r="F598" s="797"/>
      <c r="G598" s="797"/>
      <c r="H598" s="801"/>
      <c r="I598" s="670" t="s">
        <v>26</v>
      </c>
      <c r="J598" s="798"/>
      <c r="K598" s="713"/>
    </row>
    <row r="599" spans="1:16" x14ac:dyDescent="0.2">
      <c r="A599" s="531" t="s">
        <v>18</v>
      </c>
      <c r="B599" s="799" t="s">
        <v>245</v>
      </c>
      <c r="C599" s="668"/>
      <c r="D599" s="797"/>
      <c r="E599" s="800">
        <v>40000</v>
      </c>
      <c r="F599" s="797"/>
      <c r="G599" s="797"/>
      <c r="H599" s="801"/>
      <c r="I599" s="670" t="s">
        <v>26</v>
      </c>
      <c r="J599" s="798"/>
      <c r="K599" s="713"/>
    </row>
    <row r="600" spans="1:16" x14ac:dyDescent="0.2">
      <c r="A600" s="531" t="s">
        <v>19</v>
      </c>
      <c r="B600" s="799" t="s">
        <v>245</v>
      </c>
      <c r="C600" s="668"/>
      <c r="D600" s="797"/>
      <c r="E600" s="800">
        <v>40000</v>
      </c>
      <c r="F600" s="797"/>
      <c r="G600" s="797"/>
      <c r="H600" s="801"/>
      <c r="I600" s="670" t="s">
        <v>26</v>
      </c>
      <c r="J600" s="798"/>
      <c r="K600" s="713"/>
    </row>
    <row r="601" spans="1:16" x14ac:dyDescent="0.2">
      <c r="A601" s="531" t="s">
        <v>20</v>
      </c>
      <c r="B601" s="799" t="s">
        <v>245</v>
      </c>
      <c r="C601" s="668"/>
      <c r="D601" s="797"/>
      <c r="E601" s="800">
        <v>40000</v>
      </c>
      <c r="F601" s="797"/>
      <c r="G601" s="797"/>
      <c r="H601" s="801"/>
      <c r="I601" s="670" t="s">
        <v>26</v>
      </c>
      <c r="J601" s="798"/>
      <c r="K601" s="713"/>
    </row>
    <row r="602" spans="1:16" ht="12.75" thickBot="1" x14ac:dyDescent="0.25">
      <c r="B602" s="802" t="s">
        <v>169</v>
      </c>
      <c r="C602" s="803"/>
      <c r="D602" s="804"/>
      <c r="E602" s="757">
        <f>SUBTOTAL(9,E597:E601)</f>
        <v>194249</v>
      </c>
      <c r="F602" s="797"/>
      <c r="G602" s="797"/>
      <c r="H602" s="797"/>
      <c r="I602" s="670"/>
      <c r="J602" s="798"/>
      <c r="K602" s="534"/>
    </row>
    <row r="603" spans="1:16" ht="12.75" customHeight="1" thickTop="1" x14ac:dyDescent="0.2">
      <c r="B603" s="805" t="s">
        <v>447</v>
      </c>
      <c r="C603" s="1216"/>
      <c r="D603" s="1216"/>
      <c r="E603" s="1216"/>
      <c r="F603" s="1216"/>
      <c r="G603" s="1216"/>
      <c r="H603" s="1216"/>
      <c r="I603" s="1216"/>
      <c r="J603" s="1217"/>
      <c r="K603" s="534"/>
    </row>
    <row r="604" spans="1:16" x14ac:dyDescent="0.2">
      <c r="B604" s="1218"/>
      <c r="C604" s="1218"/>
      <c r="D604" s="1218"/>
      <c r="E604" s="1218"/>
      <c r="F604" s="1218"/>
      <c r="G604" s="1218"/>
      <c r="H604" s="1218"/>
      <c r="I604" s="1218"/>
      <c r="J604" s="1218"/>
      <c r="K604" s="534"/>
    </row>
    <row r="605" spans="1:16" ht="11.25" customHeight="1" x14ac:dyDescent="0.2">
      <c r="B605" s="766" t="s">
        <v>167</v>
      </c>
      <c r="C605" s="1219" t="s">
        <v>246</v>
      </c>
      <c r="D605" s="1219"/>
      <c r="E605" s="1171" t="s">
        <v>169</v>
      </c>
      <c r="F605" s="1171"/>
      <c r="G605" s="806">
        <f>SUBTOTAL(9,E611:E634)</f>
        <v>756154</v>
      </c>
      <c r="H605" s="807"/>
      <c r="I605" s="807"/>
      <c r="J605" s="808"/>
      <c r="K605" s="809"/>
      <c r="L605" s="809"/>
      <c r="M605" s="780"/>
      <c r="N605" s="810"/>
      <c r="O605" s="810"/>
      <c r="P605" s="811"/>
    </row>
    <row r="606" spans="1:16" ht="15" customHeight="1" x14ac:dyDescent="0.2">
      <c r="B606" s="706" t="s">
        <v>170</v>
      </c>
      <c r="C606" s="1137" t="s">
        <v>248</v>
      </c>
      <c r="D606" s="1137"/>
      <c r="E606" s="1137"/>
      <c r="F606" s="1137"/>
      <c r="G606" s="1137"/>
      <c r="H606" s="1137"/>
      <c r="I606" s="1137"/>
      <c r="J606" s="1147"/>
    </row>
    <row r="607" spans="1:16" ht="12" customHeight="1" x14ac:dyDescent="0.2">
      <c r="B607" s="739" t="s">
        <v>172</v>
      </c>
      <c r="C607" s="1207" t="s">
        <v>448</v>
      </c>
      <c r="D607" s="1207"/>
      <c r="E607" s="1207"/>
      <c r="F607" s="1207"/>
      <c r="G607" s="1207"/>
      <c r="H607" s="1207"/>
      <c r="I607" s="1207"/>
      <c r="J607" s="1208"/>
      <c r="K607" s="550"/>
    </row>
    <row r="608" spans="1:16" ht="45.75" customHeight="1" x14ac:dyDescent="0.2">
      <c r="B608" s="812" t="s">
        <v>174</v>
      </c>
      <c r="C608" s="1209" t="s">
        <v>449</v>
      </c>
      <c r="D608" s="1210"/>
      <c r="E608" s="1210"/>
      <c r="F608" s="1210"/>
      <c r="G608" s="1210"/>
      <c r="H608" s="1210"/>
      <c r="I608" s="1210"/>
      <c r="J608" s="1211"/>
      <c r="K608" s="550"/>
    </row>
    <row r="609" spans="1:12" ht="34.5" customHeight="1" x14ac:dyDescent="0.2">
      <c r="B609" s="813" t="s">
        <v>176</v>
      </c>
      <c r="C609" s="1173" t="s">
        <v>450</v>
      </c>
      <c r="D609" s="1173"/>
      <c r="E609" s="1173"/>
      <c r="F609" s="1173"/>
      <c r="G609" s="1173"/>
      <c r="H609" s="1173"/>
      <c r="I609" s="1173"/>
      <c r="J609" s="1174"/>
      <c r="K609" s="550"/>
    </row>
    <row r="610" spans="1:12" x14ac:dyDescent="0.2">
      <c r="B610" s="771" t="s">
        <v>365</v>
      </c>
      <c r="C610" s="693"/>
      <c r="D610" s="743"/>
      <c r="E610" s="743"/>
      <c r="F610" s="743"/>
      <c r="G610" s="743"/>
      <c r="H610" s="743"/>
      <c r="I610" s="814"/>
      <c r="J610" s="815"/>
      <c r="K610" s="550"/>
    </row>
    <row r="611" spans="1:12" ht="24" customHeight="1" x14ac:dyDescent="0.2">
      <c r="A611" s="531" t="s">
        <v>13</v>
      </c>
      <c r="B611" s="1136" t="s">
        <v>252</v>
      </c>
      <c r="C611" s="1137"/>
      <c r="D611" s="1137"/>
      <c r="E611" s="641">
        <f>130000/5</f>
        <v>26000</v>
      </c>
      <c r="F611" s="743"/>
      <c r="G611" s="743"/>
      <c r="H611" s="641"/>
      <c r="I611" s="816" t="s">
        <v>26</v>
      </c>
      <c r="J611" s="815"/>
      <c r="K611" s="550"/>
    </row>
    <row r="612" spans="1:12" ht="28.5" customHeight="1" x14ac:dyDescent="0.2">
      <c r="A612" s="531" t="s">
        <v>13</v>
      </c>
      <c r="B612" s="1136" t="s">
        <v>253</v>
      </c>
      <c r="C612" s="1137"/>
      <c r="D612" s="1137"/>
      <c r="E612" s="478">
        <v>600</v>
      </c>
      <c r="F612" s="743"/>
      <c r="G612" s="743"/>
      <c r="H612" s="478"/>
      <c r="I612" s="816" t="s">
        <v>26</v>
      </c>
      <c r="J612" s="815"/>
      <c r="K612" s="550"/>
    </row>
    <row r="613" spans="1:12" ht="35.25" customHeight="1" x14ac:dyDescent="0.2">
      <c r="A613" s="531" t="s">
        <v>13</v>
      </c>
      <c r="B613" s="1195" t="s">
        <v>451</v>
      </c>
      <c r="C613" s="1150"/>
      <c r="D613" s="1150"/>
      <c r="E613" s="641">
        <f>82491+65913+3318</f>
        <v>151722</v>
      </c>
      <c r="F613" s="635"/>
      <c r="G613" s="743"/>
      <c r="H613" s="641"/>
      <c r="I613" s="816" t="s">
        <v>26</v>
      </c>
      <c r="J613" s="815"/>
    </row>
    <row r="614" spans="1:12" ht="22.5" customHeight="1" x14ac:dyDescent="0.2">
      <c r="A614" s="531" t="s">
        <v>13</v>
      </c>
      <c r="B614" s="1136" t="s">
        <v>255</v>
      </c>
      <c r="C614" s="1137"/>
      <c r="D614" s="1137"/>
      <c r="E614" s="817">
        <v>17832</v>
      </c>
      <c r="F614" s="743"/>
      <c r="G614" s="743"/>
      <c r="H614" s="817"/>
      <c r="I614" s="816" t="s">
        <v>26</v>
      </c>
      <c r="J614" s="815"/>
      <c r="K614" s="759"/>
      <c r="L614" s="549"/>
    </row>
    <row r="615" spans="1:12" ht="13.5" customHeight="1" thickBot="1" x14ac:dyDescent="0.25">
      <c r="B615" s="1220" t="s">
        <v>13</v>
      </c>
      <c r="C615" s="1221"/>
      <c r="D615" s="1221"/>
      <c r="E615" s="818">
        <f>ROUND(SUBTOTAL(9,E611:E614),0)</f>
        <v>196154</v>
      </c>
      <c r="F615" s="743"/>
      <c r="G615" s="743"/>
      <c r="H615" s="817"/>
      <c r="I615" s="816"/>
      <c r="J615" s="815"/>
      <c r="L615" s="549"/>
    </row>
    <row r="616" spans="1:12" ht="33.75" customHeight="1" thickTop="1" x14ac:dyDescent="0.2">
      <c r="A616" s="531" t="s">
        <v>17</v>
      </c>
      <c r="B616" s="1136" t="s">
        <v>252</v>
      </c>
      <c r="C616" s="1137"/>
      <c r="D616" s="1137"/>
      <c r="E616" s="641">
        <f>130000/5</f>
        <v>26000</v>
      </c>
      <c r="F616" s="743"/>
      <c r="G616" s="743"/>
      <c r="H616" s="641"/>
      <c r="I616" s="816" t="s">
        <v>26</v>
      </c>
      <c r="J616" s="815"/>
      <c r="K616" s="550"/>
    </row>
    <row r="617" spans="1:12" ht="33.75" customHeight="1" x14ac:dyDescent="0.2">
      <c r="A617" s="531" t="s">
        <v>17</v>
      </c>
      <c r="B617" s="1136" t="s">
        <v>253</v>
      </c>
      <c r="C617" s="1137"/>
      <c r="D617" s="1137"/>
      <c r="E617" s="478">
        <v>600</v>
      </c>
      <c r="F617" s="743"/>
      <c r="G617" s="743"/>
      <c r="H617" s="478"/>
      <c r="I617" s="816" t="s">
        <v>26</v>
      </c>
      <c r="J617" s="815"/>
      <c r="K617" s="550"/>
    </row>
    <row r="618" spans="1:12" ht="56.25" customHeight="1" x14ac:dyDescent="0.2">
      <c r="A618" s="531" t="s">
        <v>17</v>
      </c>
      <c r="B618" s="1195" t="s">
        <v>256</v>
      </c>
      <c r="C618" s="1150"/>
      <c r="D618" s="1150"/>
      <c r="E618" s="641">
        <v>100673</v>
      </c>
      <c r="F618" s="743"/>
      <c r="G618" s="743"/>
      <c r="H618" s="641"/>
      <c r="I618" s="816" t="s">
        <v>26</v>
      </c>
      <c r="J618" s="815"/>
    </row>
    <row r="619" spans="1:12" ht="24" customHeight="1" x14ac:dyDescent="0.2">
      <c r="A619" s="531" t="s">
        <v>17</v>
      </c>
      <c r="B619" s="1136" t="s">
        <v>255</v>
      </c>
      <c r="C619" s="1137"/>
      <c r="D619" s="1137"/>
      <c r="E619" s="817">
        <f>ROUND(0.1*SUM(E616:E618),0)</f>
        <v>12727</v>
      </c>
      <c r="F619" s="743"/>
      <c r="G619" s="743"/>
      <c r="H619" s="817"/>
      <c r="I619" s="816" t="s">
        <v>26</v>
      </c>
      <c r="J619" s="815"/>
    </row>
    <row r="620" spans="1:12" ht="13.5" customHeight="1" thickBot="1" x14ac:dyDescent="0.25">
      <c r="B620" s="1220" t="s">
        <v>17</v>
      </c>
      <c r="C620" s="1221"/>
      <c r="D620" s="1221"/>
      <c r="E620" s="818">
        <f>ROUND(SUBTOTAL(9,E616:E619),0)</f>
        <v>140000</v>
      </c>
      <c r="F620" s="743"/>
      <c r="G620" s="743"/>
      <c r="H620" s="817"/>
      <c r="I620" s="816"/>
      <c r="J620" s="815"/>
    </row>
    <row r="621" spans="1:12" ht="36.75" customHeight="1" thickTop="1" x14ac:dyDescent="0.2">
      <c r="A621" s="531" t="s">
        <v>18</v>
      </c>
      <c r="B621" s="1136" t="s">
        <v>252</v>
      </c>
      <c r="C621" s="1137"/>
      <c r="D621" s="1137"/>
      <c r="E621" s="641">
        <f>130000/5</f>
        <v>26000</v>
      </c>
      <c r="F621" s="743"/>
      <c r="G621" s="743"/>
      <c r="H621" s="641"/>
      <c r="I621" s="816" t="s">
        <v>26</v>
      </c>
      <c r="J621" s="815"/>
      <c r="K621" s="550"/>
    </row>
    <row r="622" spans="1:12" ht="39.4" customHeight="1" x14ac:dyDescent="0.2">
      <c r="A622" s="531" t="s">
        <v>18</v>
      </c>
      <c r="B622" s="1136" t="s">
        <v>253</v>
      </c>
      <c r="C622" s="1137"/>
      <c r="D622" s="1137"/>
      <c r="E622" s="478">
        <v>600</v>
      </c>
      <c r="F622" s="743"/>
      <c r="G622" s="743"/>
      <c r="H622" s="478"/>
      <c r="I622" s="816" t="s">
        <v>26</v>
      </c>
      <c r="J622" s="815"/>
      <c r="K622" s="550"/>
    </row>
    <row r="623" spans="1:12" ht="72" customHeight="1" x14ac:dyDescent="0.2">
      <c r="A623" s="531" t="s">
        <v>18</v>
      </c>
      <c r="B623" s="1195" t="s">
        <v>256</v>
      </c>
      <c r="C623" s="1150"/>
      <c r="D623" s="1150"/>
      <c r="E623" s="641">
        <v>100673</v>
      </c>
      <c r="F623" s="743"/>
      <c r="G623" s="743"/>
      <c r="H623" s="641"/>
      <c r="I623" s="816" t="s">
        <v>26</v>
      </c>
      <c r="J623" s="815"/>
      <c r="L623" s="819"/>
    </row>
    <row r="624" spans="1:12" ht="24" customHeight="1" x14ac:dyDescent="0.2">
      <c r="A624" s="531" t="s">
        <v>18</v>
      </c>
      <c r="B624" s="1136" t="s">
        <v>255</v>
      </c>
      <c r="C624" s="1137"/>
      <c r="D624" s="1137"/>
      <c r="E624" s="817">
        <f>ROUND(0.1*SUM(E621:E623),0)</f>
        <v>12727</v>
      </c>
      <c r="F624" s="743"/>
      <c r="G624" s="743"/>
      <c r="H624" s="817"/>
      <c r="I624" s="816" t="s">
        <v>26</v>
      </c>
      <c r="J624" s="815"/>
    </row>
    <row r="625" spans="1:16" ht="13.5" customHeight="1" thickBot="1" x14ac:dyDescent="0.25">
      <c r="B625" s="1220" t="s">
        <v>18</v>
      </c>
      <c r="C625" s="1221"/>
      <c r="D625" s="1221"/>
      <c r="E625" s="818">
        <f>ROUND(SUBTOTAL(9,E621:E624),0)</f>
        <v>140000</v>
      </c>
      <c r="F625" s="743"/>
      <c r="G625" s="743"/>
      <c r="H625" s="817"/>
      <c r="I625" s="816"/>
      <c r="J625" s="815"/>
    </row>
    <row r="626" spans="1:16" ht="36.75" customHeight="1" thickTop="1" x14ac:dyDescent="0.2">
      <c r="A626" s="531" t="s">
        <v>19</v>
      </c>
      <c r="B626" s="1136" t="s">
        <v>252</v>
      </c>
      <c r="C626" s="1137"/>
      <c r="D626" s="1137"/>
      <c r="E626" s="641">
        <f>130000/5</f>
        <v>26000</v>
      </c>
      <c r="F626" s="743"/>
      <c r="G626" s="743"/>
      <c r="H626" s="641"/>
      <c r="I626" s="816" t="s">
        <v>26</v>
      </c>
      <c r="J626" s="815"/>
      <c r="K626" s="550"/>
    </row>
    <row r="627" spans="1:16" ht="36" customHeight="1" x14ac:dyDescent="0.2">
      <c r="A627" s="531" t="s">
        <v>19</v>
      </c>
      <c r="B627" s="1136" t="s">
        <v>253</v>
      </c>
      <c r="C627" s="1137"/>
      <c r="D627" s="1137"/>
      <c r="E627" s="478">
        <v>600</v>
      </c>
      <c r="F627" s="743"/>
      <c r="G627" s="743"/>
      <c r="H627" s="478"/>
      <c r="I627" s="816" t="s">
        <v>26</v>
      </c>
      <c r="J627" s="815"/>
      <c r="K627" s="550"/>
    </row>
    <row r="628" spans="1:16" ht="36" customHeight="1" x14ac:dyDescent="0.2">
      <c r="A628" s="531" t="s">
        <v>19</v>
      </c>
      <c r="B628" s="1195" t="s">
        <v>256</v>
      </c>
      <c r="C628" s="1150"/>
      <c r="D628" s="1150"/>
      <c r="E628" s="641">
        <v>100673</v>
      </c>
      <c r="F628" s="743"/>
      <c r="G628" s="743"/>
      <c r="H628" s="641"/>
      <c r="I628" s="816" t="s">
        <v>26</v>
      </c>
      <c r="J628" s="815"/>
    </row>
    <row r="629" spans="1:16" ht="24" customHeight="1" x14ac:dyDescent="0.2">
      <c r="A629" s="531" t="s">
        <v>19</v>
      </c>
      <c r="B629" s="1136" t="s">
        <v>255</v>
      </c>
      <c r="C629" s="1137"/>
      <c r="D629" s="1137"/>
      <c r="E629" s="817">
        <f>ROUND(0.1*SUM(E626:E628),0)</f>
        <v>12727</v>
      </c>
      <c r="F629" s="743"/>
      <c r="G629" s="743"/>
      <c r="H629" s="817"/>
      <c r="I629" s="816" t="s">
        <v>26</v>
      </c>
      <c r="J629" s="815"/>
    </row>
    <row r="630" spans="1:16" ht="13.5" customHeight="1" thickBot="1" x14ac:dyDescent="0.25">
      <c r="B630" s="1220" t="s">
        <v>19</v>
      </c>
      <c r="C630" s="1221"/>
      <c r="D630" s="1221"/>
      <c r="E630" s="818">
        <f>ROUND(SUBTOTAL(9,E626:E629),0)</f>
        <v>140000</v>
      </c>
      <c r="F630" s="743"/>
      <c r="G630" s="743"/>
      <c r="H630" s="817"/>
      <c r="I630" s="816"/>
      <c r="J630" s="815"/>
    </row>
    <row r="631" spans="1:16" ht="21" customHeight="1" thickTop="1" x14ac:dyDescent="0.2">
      <c r="A631" s="531" t="s">
        <v>20</v>
      </c>
      <c r="B631" s="1136" t="s">
        <v>252</v>
      </c>
      <c r="C631" s="1137"/>
      <c r="D631" s="1137"/>
      <c r="E631" s="641">
        <f>130000/5</f>
        <v>26000</v>
      </c>
      <c r="F631" s="743"/>
      <c r="G631" s="743"/>
      <c r="H631" s="641"/>
      <c r="I631" s="816" t="s">
        <v>26</v>
      </c>
      <c r="J631" s="815"/>
      <c r="K631" s="550"/>
    </row>
    <row r="632" spans="1:16" ht="11.25" customHeight="1" x14ac:dyDescent="0.2">
      <c r="A632" s="531" t="s">
        <v>20</v>
      </c>
      <c r="B632" s="1136" t="s">
        <v>253</v>
      </c>
      <c r="C632" s="1137"/>
      <c r="D632" s="1137"/>
      <c r="E632" s="478">
        <v>600</v>
      </c>
      <c r="F632" s="743"/>
      <c r="G632" s="743"/>
      <c r="H632" s="478"/>
      <c r="I632" s="816" t="s">
        <v>26</v>
      </c>
      <c r="J632" s="815"/>
      <c r="K632" s="550"/>
    </row>
    <row r="633" spans="1:16" ht="36.75" customHeight="1" x14ac:dyDescent="0.2">
      <c r="A633" s="531" t="s">
        <v>20</v>
      </c>
      <c r="B633" s="1195" t="s">
        <v>256</v>
      </c>
      <c r="C633" s="1150"/>
      <c r="D633" s="1150"/>
      <c r="E633" s="641">
        <v>100673</v>
      </c>
      <c r="F633" s="743"/>
      <c r="G633" s="743"/>
      <c r="H633" s="641"/>
      <c r="I633" s="816" t="s">
        <v>26</v>
      </c>
      <c r="J633" s="815"/>
    </row>
    <row r="634" spans="1:16" ht="22.5" customHeight="1" x14ac:dyDescent="0.2">
      <c r="A634" s="531" t="s">
        <v>20</v>
      </c>
      <c r="B634" s="1136" t="s">
        <v>255</v>
      </c>
      <c r="C634" s="1137"/>
      <c r="D634" s="1137"/>
      <c r="E634" s="817">
        <f>ROUND(0.1*SUM(E631:E633),0)</f>
        <v>12727</v>
      </c>
      <c r="F634" s="743"/>
      <c r="G634" s="743"/>
      <c r="H634" s="817"/>
      <c r="I634" s="816" t="s">
        <v>26</v>
      </c>
      <c r="J634" s="815"/>
    </row>
    <row r="635" spans="1:16" ht="13.5" customHeight="1" thickBot="1" x14ac:dyDescent="0.25">
      <c r="B635" s="1220" t="s">
        <v>20</v>
      </c>
      <c r="C635" s="1221"/>
      <c r="D635" s="1221"/>
      <c r="E635" s="818">
        <f>ROUND(SUBTOTAL(9,E631:E634),0)</f>
        <v>140000</v>
      </c>
      <c r="F635" s="743"/>
      <c r="G635" s="743"/>
      <c r="H635" s="817"/>
      <c r="I635" s="816"/>
      <c r="J635" s="815"/>
    </row>
    <row r="636" spans="1:16" ht="13.5" thickTop="1" thickBot="1" x14ac:dyDescent="0.25">
      <c r="B636" s="754" t="s">
        <v>169</v>
      </c>
      <c r="C636" s="755"/>
      <c r="D636" s="756"/>
      <c r="E636" s="820">
        <f>ROUND(SUBTOTAL(9,E611:E634),0)</f>
        <v>756154</v>
      </c>
      <c r="F636" s="743"/>
      <c r="G636" s="743"/>
      <c r="H636" s="743"/>
      <c r="I636" s="814"/>
      <c r="J636" s="815"/>
    </row>
    <row r="637" spans="1:16" ht="38.25" customHeight="1" thickTop="1" x14ac:dyDescent="0.2">
      <c r="B637" s="821" t="s">
        <v>371</v>
      </c>
      <c r="C637" s="1180" t="s">
        <v>452</v>
      </c>
      <c r="D637" s="1180"/>
      <c r="E637" s="1180"/>
      <c r="F637" s="1180"/>
      <c r="G637" s="1180"/>
      <c r="H637" s="1180"/>
      <c r="I637" s="1180"/>
      <c r="J637" s="1181"/>
    </row>
    <row r="638" spans="1:16" x14ac:dyDescent="0.2">
      <c r="B638" s="1226"/>
      <c r="C638" s="1226"/>
      <c r="D638" s="1226"/>
      <c r="E638" s="1226"/>
      <c r="F638" s="1226"/>
      <c r="G638" s="1226"/>
      <c r="H638" s="1226"/>
      <c r="I638" s="1226"/>
      <c r="J638" s="1226"/>
    </row>
    <row r="639" spans="1:16" ht="15" customHeight="1" x14ac:dyDescent="0.2">
      <c r="B639" s="822" t="s">
        <v>387</v>
      </c>
      <c r="C639" s="1227" t="s">
        <v>453</v>
      </c>
      <c r="D639" s="1227"/>
      <c r="E639" s="1171" t="s">
        <v>169</v>
      </c>
      <c r="F639" s="1171"/>
      <c r="G639" s="823">
        <f>SUBTOTAL(9,E645:E669)</f>
        <v>680000</v>
      </c>
      <c r="H639" s="824"/>
      <c r="I639" s="824"/>
      <c r="J639" s="825"/>
      <c r="K639" s="797"/>
      <c r="L639" s="797"/>
      <c r="M639" s="797"/>
      <c r="N639" s="826"/>
      <c r="O639" s="826"/>
      <c r="P639" s="827"/>
    </row>
    <row r="640" spans="1:16" ht="15" customHeight="1" x14ac:dyDescent="0.2">
      <c r="B640" s="1228" t="s">
        <v>170</v>
      </c>
      <c r="C640" s="1228"/>
      <c r="D640" s="1137" t="s">
        <v>248</v>
      </c>
      <c r="E640" s="1137"/>
      <c r="F640" s="1137"/>
      <c r="G640" s="1137"/>
      <c r="H640" s="1137"/>
      <c r="I640" s="1137"/>
      <c r="J640" s="1147"/>
      <c r="K640" s="809"/>
      <c r="L640" s="809"/>
      <c r="M640" s="780"/>
      <c r="N640" s="810"/>
      <c r="O640" s="810"/>
      <c r="P640" s="811"/>
    </row>
    <row r="641" spans="1:11" x14ac:dyDescent="0.2">
      <c r="B641" s="739" t="s">
        <v>172</v>
      </c>
      <c r="C641" s="1137" t="s">
        <v>448</v>
      </c>
      <c r="D641" s="1137"/>
      <c r="E641" s="1137"/>
      <c r="F641" s="1137"/>
      <c r="G641" s="1137"/>
      <c r="H641" s="1137"/>
      <c r="I641" s="1137"/>
      <c r="J641" s="1147"/>
      <c r="K641" s="534"/>
    </row>
    <row r="642" spans="1:11" ht="120.75" customHeight="1" x14ac:dyDescent="0.2">
      <c r="B642" s="812" t="s">
        <v>174</v>
      </c>
      <c r="C642" s="1222" t="s">
        <v>454</v>
      </c>
      <c r="D642" s="1223"/>
      <c r="E642" s="1223"/>
      <c r="F642" s="1223"/>
      <c r="G642" s="1223"/>
      <c r="H642" s="1223"/>
      <c r="I642" s="1223"/>
      <c r="J642" s="1224"/>
      <c r="K642" s="534"/>
    </row>
    <row r="643" spans="1:11" ht="33.75" customHeight="1" x14ac:dyDescent="0.2">
      <c r="B643" s="812" t="s">
        <v>176</v>
      </c>
      <c r="C643" s="1222" t="s">
        <v>455</v>
      </c>
      <c r="D643" s="1222"/>
      <c r="E643" s="1222"/>
      <c r="F643" s="1222"/>
      <c r="G643" s="1222"/>
      <c r="H643" s="1222"/>
      <c r="I643" s="1222"/>
      <c r="J643" s="1225"/>
      <c r="K643" s="534"/>
    </row>
    <row r="644" spans="1:11" x14ac:dyDescent="0.2">
      <c r="B644" s="828" t="s">
        <v>365</v>
      </c>
      <c r="C644" s="829"/>
      <c r="D644" s="829"/>
      <c r="E644" s="797"/>
      <c r="F644" s="797"/>
      <c r="G644" s="797"/>
      <c r="H644" s="797"/>
      <c r="I644" s="830"/>
      <c r="J644" s="831"/>
    </row>
    <row r="645" spans="1:11" ht="24.95" customHeight="1" x14ac:dyDescent="0.2">
      <c r="A645" s="531" t="s">
        <v>13</v>
      </c>
      <c r="B645" s="1138" t="s">
        <v>262</v>
      </c>
      <c r="C645" s="1139"/>
      <c r="D645" s="1139"/>
      <c r="E645" s="641">
        <v>0</v>
      </c>
      <c r="F645" s="797"/>
      <c r="G645" s="797"/>
      <c r="H645" s="641"/>
      <c r="I645" s="816" t="s">
        <v>26</v>
      </c>
      <c r="J645" s="831"/>
      <c r="K645" s="534"/>
    </row>
    <row r="646" spans="1:11" ht="10.5" customHeight="1" x14ac:dyDescent="0.2">
      <c r="A646" s="531" t="s">
        <v>13</v>
      </c>
      <c r="B646" s="1138" t="s">
        <v>263</v>
      </c>
      <c r="C646" s="1139"/>
      <c r="D646" s="1139"/>
      <c r="E646" s="641">
        <v>1091</v>
      </c>
      <c r="F646" s="797"/>
      <c r="G646" s="797"/>
      <c r="H646" s="641"/>
      <c r="I646" s="816" t="s">
        <v>26</v>
      </c>
      <c r="J646" s="831"/>
      <c r="K646" s="534"/>
    </row>
    <row r="647" spans="1:11" ht="33.75" customHeight="1" x14ac:dyDescent="0.2">
      <c r="A647" s="531" t="s">
        <v>13</v>
      </c>
      <c r="B647" s="1138" t="s">
        <v>264</v>
      </c>
      <c r="C647" s="1139"/>
      <c r="D647" s="1139"/>
      <c r="E647" s="641">
        <v>108000</v>
      </c>
      <c r="F647" s="797"/>
      <c r="G647" s="797"/>
      <c r="H647" s="641"/>
      <c r="I647" s="816" t="s">
        <v>26</v>
      </c>
      <c r="J647" s="831"/>
      <c r="K647" s="530"/>
    </row>
    <row r="648" spans="1:11" ht="10.5" customHeight="1" x14ac:dyDescent="0.2">
      <c r="A648" s="531" t="s">
        <v>13</v>
      </c>
      <c r="B648" s="1138" t="s">
        <v>265</v>
      </c>
      <c r="C648" s="1139"/>
      <c r="D648" s="1139"/>
      <c r="E648" s="641">
        <v>10909</v>
      </c>
      <c r="F648" s="797"/>
      <c r="G648" s="797"/>
      <c r="H648" s="641"/>
      <c r="I648" s="816" t="s">
        <v>26</v>
      </c>
      <c r="J648" s="831"/>
      <c r="K648" s="530"/>
    </row>
    <row r="649" spans="1:11" ht="12.75" thickBot="1" x14ac:dyDescent="0.25">
      <c r="B649" s="799"/>
      <c r="C649" s="668"/>
      <c r="D649" s="832" t="s">
        <v>13</v>
      </c>
      <c r="E649" s="820">
        <f>SUBTOTAL(9,E645:E648)</f>
        <v>120000</v>
      </c>
      <c r="F649" s="797"/>
      <c r="G649" s="797"/>
      <c r="H649" s="797"/>
      <c r="I649" s="830"/>
      <c r="J649" s="831"/>
      <c r="K649" s="530"/>
    </row>
    <row r="650" spans="1:11" ht="24.95" customHeight="1" thickTop="1" x14ac:dyDescent="0.2">
      <c r="A650" s="531" t="s">
        <v>17</v>
      </c>
      <c r="B650" s="1138" t="s">
        <v>266</v>
      </c>
      <c r="C650" s="1139"/>
      <c r="D650" s="1139"/>
      <c r="E650" s="641">
        <f>320000/5</f>
        <v>64000</v>
      </c>
      <c r="F650" s="797"/>
      <c r="G650" s="797"/>
      <c r="H650" s="641"/>
      <c r="I650" s="816" t="s">
        <v>26</v>
      </c>
      <c r="J650" s="831"/>
      <c r="K650" s="534"/>
    </row>
    <row r="651" spans="1:11" x14ac:dyDescent="0.2">
      <c r="A651" s="531" t="s">
        <v>17</v>
      </c>
      <c r="B651" s="1138" t="s">
        <v>263</v>
      </c>
      <c r="C651" s="1139"/>
      <c r="D651" s="1139"/>
      <c r="E651" s="641">
        <v>1091</v>
      </c>
      <c r="F651" s="797"/>
      <c r="G651" s="797"/>
      <c r="H651" s="641"/>
      <c r="I651" s="816" t="s">
        <v>26</v>
      </c>
      <c r="J651" s="831"/>
      <c r="K651" s="534"/>
    </row>
    <row r="652" spans="1:11" x14ac:dyDescent="0.2">
      <c r="A652" s="531" t="s">
        <v>17</v>
      </c>
      <c r="B652" s="1138" t="s">
        <v>264</v>
      </c>
      <c r="C652" s="1139"/>
      <c r="D652" s="1139"/>
      <c r="E652" s="641">
        <f>44000+18182</f>
        <v>62182</v>
      </c>
      <c r="F652" s="797"/>
      <c r="G652" s="797"/>
      <c r="H652" s="641"/>
      <c r="I652" s="816" t="s">
        <v>26</v>
      </c>
      <c r="J652" s="831"/>
      <c r="K652" s="530"/>
    </row>
    <row r="653" spans="1:11" x14ac:dyDescent="0.2">
      <c r="A653" s="531" t="s">
        <v>17</v>
      </c>
      <c r="B653" s="1138" t="s">
        <v>265</v>
      </c>
      <c r="C653" s="1139"/>
      <c r="D653" s="1139"/>
      <c r="E653" s="641">
        <f>ROUNDDOWN(SUM(E650:E652)*0.1,0)</f>
        <v>12727</v>
      </c>
      <c r="F653" s="797"/>
      <c r="G653" s="797"/>
      <c r="H653" s="641"/>
      <c r="I653" s="816" t="s">
        <v>26</v>
      </c>
      <c r="J653" s="477"/>
      <c r="K653" s="530"/>
    </row>
    <row r="654" spans="1:11" ht="12.75" thickBot="1" x14ac:dyDescent="0.25">
      <c r="B654" s="799"/>
      <c r="C654" s="668"/>
      <c r="D654" s="832" t="s">
        <v>17</v>
      </c>
      <c r="E654" s="820">
        <f>SUBTOTAL(9,E650:E653)</f>
        <v>140000</v>
      </c>
      <c r="F654" s="797"/>
      <c r="G654" s="797"/>
      <c r="H654" s="797"/>
      <c r="I654" s="830"/>
      <c r="J654" s="477"/>
      <c r="K654" s="530"/>
    </row>
    <row r="655" spans="1:11" ht="24.95" customHeight="1" thickTop="1" x14ac:dyDescent="0.2">
      <c r="A655" s="531" t="s">
        <v>18</v>
      </c>
      <c r="B655" s="1138" t="s">
        <v>266</v>
      </c>
      <c r="C655" s="1139"/>
      <c r="D655" s="1139"/>
      <c r="E655" s="641">
        <f>320000/5</f>
        <v>64000</v>
      </c>
      <c r="F655" s="797"/>
      <c r="G655" s="797"/>
      <c r="H655" s="641"/>
      <c r="I655" s="816" t="s">
        <v>26</v>
      </c>
      <c r="J655" s="477"/>
      <c r="K655" s="534"/>
    </row>
    <row r="656" spans="1:11" x14ac:dyDescent="0.2">
      <c r="A656" s="531" t="s">
        <v>18</v>
      </c>
      <c r="B656" s="1138" t="s">
        <v>263</v>
      </c>
      <c r="C656" s="1139"/>
      <c r="D656" s="1139"/>
      <c r="E656" s="641">
        <v>1091</v>
      </c>
      <c r="F656" s="797"/>
      <c r="G656" s="797"/>
      <c r="H656" s="641"/>
      <c r="I656" s="816" t="s">
        <v>26</v>
      </c>
      <c r="J656" s="831"/>
      <c r="K656" s="534"/>
    </row>
    <row r="657" spans="1:11" x14ac:dyDescent="0.2">
      <c r="A657" s="531" t="s">
        <v>18</v>
      </c>
      <c r="B657" s="1138" t="s">
        <v>264</v>
      </c>
      <c r="C657" s="1139"/>
      <c r="D657" s="1139"/>
      <c r="E657" s="641">
        <f>44000+18182</f>
        <v>62182</v>
      </c>
      <c r="F657" s="797"/>
      <c r="G657" s="797"/>
      <c r="H657" s="641"/>
      <c r="I657" s="816" t="s">
        <v>26</v>
      </c>
      <c r="J657" s="831"/>
      <c r="K657" s="530"/>
    </row>
    <row r="658" spans="1:11" x14ac:dyDescent="0.2">
      <c r="A658" s="531" t="s">
        <v>18</v>
      </c>
      <c r="B658" s="1138" t="s">
        <v>265</v>
      </c>
      <c r="C658" s="1139"/>
      <c r="D658" s="1139"/>
      <c r="E658" s="641">
        <f>ROUNDDOWN(SUM(E655:E657)*0.1,0)</f>
        <v>12727</v>
      </c>
      <c r="F658" s="797"/>
      <c r="G658" s="797"/>
      <c r="H658" s="641"/>
      <c r="I658" s="816" t="s">
        <v>26</v>
      </c>
      <c r="J658" s="831"/>
      <c r="K658" s="530"/>
    </row>
    <row r="659" spans="1:11" ht="12.75" thickBot="1" x14ac:dyDescent="0.25">
      <c r="B659" s="799"/>
      <c r="C659" s="668"/>
      <c r="D659" s="832" t="s">
        <v>18</v>
      </c>
      <c r="E659" s="820">
        <f>SUBTOTAL(9,E655:E658)</f>
        <v>140000</v>
      </c>
      <c r="F659" s="797"/>
      <c r="G659" s="797"/>
      <c r="H659" s="797"/>
      <c r="I659" s="830"/>
      <c r="J659" s="831"/>
      <c r="K659" s="530"/>
    </row>
    <row r="660" spans="1:11" ht="12.75" thickTop="1" x14ac:dyDescent="0.2">
      <c r="B660" s="1229" t="s">
        <v>365</v>
      </c>
      <c r="C660" s="1230"/>
      <c r="D660" s="1230"/>
      <c r="E660" s="797"/>
      <c r="F660" s="797"/>
      <c r="G660" s="797"/>
      <c r="H660" s="797"/>
      <c r="I660" s="830"/>
      <c r="J660" s="831"/>
    </row>
    <row r="661" spans="1:11" ht="24.95" customHeight="1" x14ac:dyDescent="0.2">
      <c r="A661" s="531" t="s">
        <v>19</v>
      </c>
      <c r="B661" s="1138" t="s">
        <v>266</v>
      </c>
      <c r="C661" s="1139"/>
      <c r="D661" s="1139"/>
      <c r="E661" s="641">
        <f>320000/5</f>
        <v>64000</v>
      </c>
      <c r="F661" s="797"/>
      <c r="G661" s="797"/>
      <c r="H661" s="641"/>
      <c r="I661" s="816" t="s">
        <v>26</v>
      </c>
      <c r="J661" s="831"/>
      <c r="K661" s="534"/>
    </row>
    <row r="662" spans="1:11" x14ac:dyDescent="0.2">
      <c r="A662" s="531" t="s">
        <v>19</v>
      </c>
      <c r="B662" s="1138" t="s">
        <v>263</v>
      </c>
      <c r="C662" s="1139"/>
      <c r="D662" s="1139"/>
      <c r="E662" s="641">
        <v>1091</v>
      </c>
      <c r="F662" s="797"/>
      <c r="G662" s="797"/>
      <c r="H662" s="641"/>
      <c r="I662" s="816" t="s">
        <v>26</v>
      </c>
      <c r="J662" s="831"/>
      <c r="K662" s="534"/>
    </row>
    <row r="663" spans="1:11" x14ac:dyDescent="0.2">
      <c r="A663" s="531" t="s">
        <v>19</v>
      </c>
      <c r="B663" s="1138" t="s">
        <v>264</v>
      </c>
      <c r="C663" s="1139"/>
      <c r="D663" s="1139"/>
      <c r="E663" s="641">
        <f>44000+18182</f>
        <v>62182</v>
      </c>
      <c r="F663" s="797"/>
      <c r="G663" s="797"/>
      <c r="H663" s="641"/>
      <c r="I663" s="816" t="s">
        <v>26</v>
      </c>
      <c r="J663" s="831"/>
      <c r="K663" s="530"/>
    </row>
    <row r="664" spans="1:11" x14ac:dyDescent="0.2">
      <c r="A664" s="531" t="s">
        <v>19</v>
      </c>
      <c r="B664" s="1138" t="s">
        <v>265</v>
      </c>
      <c r="C664" s="1139"/>
      <c r="D664" s="1139"/>
      <c r="E664" s="641">
        <f>ROUNDDOWN(SUM(E661:E663)*0.1,0)</f>
        <v>12727</v>
      </c>
      <c r="F664" s="797"/>
      <c r="G664" s="797"/>
      <c r="H664" s="641"/>
      <c r="I664" s="816" t="s">
        <v>26</v>
      </c>
      <c r="J664" s="831"/>
      <c r="K664" s="530"/>
    </row>
    <row r="665" spans="1:11" ht="12.75" thickBot="1" x14ac:dyDescent="0.25">
      <c r="B665" s="799"/>
      <c r="C665" s="668"/>
      <c r="D665" s="832" t="s">
        <v>19</v>
      </c>
      <c r="E665" s="820">
        <f>SUBTOTAL(9,E661:E664)</f>
        <v>140000</v>
      </c>
      <c r="F665" s="797"/>
      <c r="G665" s="797"/>
      <c r="H665" s="797"/>
      <c r="I665" s="830"/>
      <c r="J665" s="831"/>
      <c r="K665" s="530"/>
    </row>
    <row r="666" spans="1:11" ht="24.95" customHeight="1" thickTop="1" x14ac:dyDescent="0.2">
      <c r="A666" s="531" t="s">
        <v>20</v>
      </c>
      <c r="B666" s="1138" t="s">
        <v>266</v>
      </c>
      <c r="C666" s="1139"/>
      <c r="D666" s="1139"/>
      <c r="E666" s="641">
        <f>320000/5</f>
        <v>64000</v>
      </c>
      <c r="F666" s="797"/>
      <c r="G666" s="797"/>
      <c r="H666" s="641"/>
      <c r="I666" s="816" t="s">
        <v>26</v>
      </c>
      <c r="J666" s="831"/>
      <c r="K666" s="534"/>
    </row>
    <row r="667" spans="1:11" x14ac:dyDescent="0.2">
      <c r="A667" s="531" t="s">
        <v>20</v>
      </c>
      <c r="B667" s="1138" t="s">
        <v>263</v>
      </c>
      <c r="C667" s="1139"/>
      <c r="D667" s="1139"/>
      <c r="E667" s="641">
        <v>1091</v>
      </c>
      <c r="F667" s="797"/>
      <c r="G667" s="797"/>
      <c r="H667" s="641"/>
      <c r="I667" s="816" t="s">
        <v>26</v>
      </c>
      <c r="J667" s="831"/>
      <c r="K667" s="534"/>
    </row>
    <row r="668" spans="1:11" x14ac:dyDescent="0.2">
      <c r="A668" s="531" t="s">
        <v>20</v>
      </c>
      <c r="B668" s="1138" t="s">
        <v>264</v>
      </c>
      <c r="C668" s="1139"/>
      <c r="D668" s="1139"/>
      <c r="E668" s="641">
        <f>44000+18182</f>
        <v>62182</v>
      </c>
      <c r="F668" s="797"/>
      <c r="G668" s="797"/>
      <c r="H668" s="641"/>
      <c r="I668" s="816" t="s">
        <v>26</v>
      </c>
      <c r="J668" s="831"/>
      <c r="K668" s="530"/>
    </row>
    <row r="669" spans="1:11" x14ac:dyDescent="0.2">
      <c r="A669" s="531" t="s">
        <v>20</v>
      </c>
      <c r="B669" s="1138" t="s">
        <v>265</v>
      </c>
      <c r="C669" s="1139"/>
      <c r="D669" s="1139"/>
      <c r="E669" s="641">
        <f>ROUNDDOWN(SUM(E666:E668)*0.1,0)</f>
        <v>12727</v>
      </c>
      <c r="F669" s="797"/>
      <c r="G669" s="797"/>
      <c r="H669" s="641"/>
      <c r="I669" s="816" t="s">
        <v>26</v>
      </c>
      <c r="J669" s="831"/>
      <c r="K669" s="530"/>
    </row>
    <row r="670" spans="1:11" ht="12.75" thickBot="1" x14ac:dyDescent="0.25">
      <c r="B670" s="799"/>
      <c r="C670" s="668"/>
      <c r="D670" s="832" t="s">
        <v>20</v>
      </c>
      <c r="E670" s="820">
        <f>SUBTOTAL(9,E666:E669)</f>
        <v>140000</v>
      </c>
      <c r="F670" s="797"/>
      <c r="G670" s="797"/>
      <c r="H670" s="797"/>
      <c r="I670" s="830"/>
      <c r="J670" s="831"/>
      <c r="K670" s="530"/>
    </row>
    <row r="671" spans="1:11" ht="12.75" customHeight="1" thickTop="1" thickBot="1" x14ac:dyDescent="0.25">
      <c r="B671" s="1241" t="s">
        <v>169</v>
      </c>
      <c r="C671" s="1242"/>
      <c r="D671" s="1242"/>
      <c r="E671" s="820">
        <f>SUBTOTAL(9,E645:E669)</f>
        <v>680000</v>
      </c>
      <c r="F671" s="797"/>
      <c r="G671" s="797"/>
      <c r="H671" s="797"/>
      <c r="I671" s="830"/>
      <c r="J671" s="831"/>
    </row>
    <row r="672" spans="1:11" ht="35.25" customHeight="1" thickTop="1" x14ac:dyDescent="0.2">
      <c r="B672" s="833" t="s">
        <v>371</v>
      </c>
      <c r="C672" s="1231" t="s">
        <v>456</v>
      </c>
      <c r="D672" s="1231"/>
      <c r="E672" s="1231"/>
      <c r="F672" s="1231"/>
      <c r="G672" s="1231"/>
      <c r="H672" s="1231"/>
      <c r="I672" s="1231"/>
      <c r="J672" s="1232"/>
      <c r="K672" s="534"/>
    </row>
    <row r="673" spans="2:15" x14ac:dyDescent="0.2">
      <c r="B673" s="1132" t="s">
        <v>268</v>
      </c>
      <c r="C673" s="1132"/>
      <c r="D673" s="1132"/>
      <c r="E673" s="1132"/>
      <c r="F673" s="1132"/>
      <c r="G673" s="1132"/>
      <c r="H673" s="1132"/>
      <c r="I673" s="1132"/>
      <c r="J673" s="474">
        <f>ROUND(SUM(H682,H690,H692:H694),0)</f>
        <v>103630</v>
      </c>
      <c r="K673" s="550"/>
    </row>
    <row r="674" spans="2:15" ht="12" customHeight="1" x14ac:dyDescent="0.2">
      <c r="B674" s="1233" t="s">
        <v>269</v>
      </c>
      <c r="C674" s="1234"/>
      <c r="D674" s="1234"/>
      <c r="E674" s="1234"/>
      <c r="F674" s="1234"/>
      <c r="G674" s="1234"/>
      <c r="H674" s="1234"/>
      <c r="I674" s="1234"/>
      <c r="J674" s="1234"/>
    </row>
    <row r="675" spans="2:15" ht="72.75" customHeight="1" x14ac:dyDescent="0.2">
      <c r="B675" s="1235" t="s">
        <v>457</v>
      </c>
      <c r="C675" s="1236"/>
      <c r="D675" s="1236"/>
      <c r="E675" s="1236"/>
      <c r="F675" s="1236"/>
      <c r="G675" s="1236"/>
      <c r="H675" s="1236"/>
      <c r="I675" s="1236"/>
      <c r="J675" s="1237"/>
      <c r="L675" s="531" t="s">
        <v>271</v>
      </c>
    </row>
    <row r="676" spans="2:15" ht="15" customHeight="1" x14ac:dyDescent="0.2">
      <c r="B676" s="1238"/>
      <c r="C676" s="1239"/>
      <c r="D676" s="1239"/>
      <c r="E676" s="1239"/>
      <c r="F676" s="1239"/>
      <c r="G676" s="1239"/>
      <c r="H676" s="834" t="s">
        <v>458</v>
      </c>
      <c r="I676" s="1239"/>
      <c r="J676" s="1240"/>
    </row>
    <row r="677" spans="2:15" ht="15" customHeight="1" x14ac:dyDescent="0.2">
      <c r="B677" s="1136" t="s">
        <v>459</v>
      </c>
      <c r="C677" s="1137"/>
      <c r="D677" s="1137"/>
      <c r="E677" s="1137"/>
      <c r="F677" s="1137"/>
      <c r="G677" s="835" t="s">
        <v>136</v>
      </c>
      <c r="H677" s="476">
        <v>7751</v>
      </c>
      <c r="I677" s="634" t="s">
        <v>15</v>
      </c>
      <c r="J677" s="732"/>
      <c r="L677" s="531" t="s">
        <v>271</v>
      </c>
    </row>
    <row r="678" spans="2:15" ht="15" customHeight="1" x14ac:dyDescent="0.2">
      <c r="B678" s="1136" t="s">
        <v>459</v>
      </c>
      <c r="C678" s="1137"/>
      <c r="D678" s="1137"/>
      <c r="E678" s="1137"/>
      <c r="F678" s="1137"/>
      <c r="G678" s="835" t="s">
        <v>137</v>
      </c>
      <c r="H678" s="476">
        <v>17440</v>
      </c>
      <c r="I678" s="634" t="s">
        <v>15</v>
      </c>
      <c r="J678" s="732"/>
      <c r="L678" s="531" t="s">
        <v>271</v>
      </c>
    </row>
    <row r="679" spans="2:15" ht="15" customHeight="1" x14ac:dyDescent="0.2">
      <c r="B679" s="1136" t="s">
        <v>459</v>
      </c>
      <c r="C679" s="1137"/>
      <c r="D679" s="1137"/>
      <c r="E679" s="1137"/>
      <c r="F679" s="1137"/>
      <c r="G679" s="835" t="s">
        <v>138</v>
      </c>
      <c r="H679" s="476">
        <v>17440</v>
      </c>
      <c r="I679" s="634" t="s">
        <v>15</v>
      </c>
      <c r="J679" s="732"/>
      <c r="L679" s="531" t="s">
        <v>271</v>
      </c>
    </row>
    <row r="680" spans="2:15" ht="15" customHeight="1" x14ac:dyDescent="0.2">
      <c r="B680" s="1136" t="s">
        <v>459</v>
      </c>
      <c r="C680" s="1137"/>
      <c r="D680" s="1137"/>
      <c r="E680" s="1137"/>
      <c r="F680" s="1137"/>
      <c r="G680" s="835" t="s">
        <v>139</v>
      </c>
      <c r="H680" s="476">
        <v>17440</v>
      </c>
      <c r="I680" s="634" t="s">
        <v>15</v>
      </c>
      <c r="J680" s="732"/>
      <c r="L680" s="531" t="s">
        <v>271</v>
      </c>
    </row>
    <row r="681" spans="2:15" ht="15" customHeight="1" x14ac:dyDescent="0.2">
      <c r="B681" s="1136" t="s">
        <v>459</v>
      </c>
      <c r="C681" s="1137"/>
      <c r="D681" s="1137"/>
      <c r="E681" s="1137"/>
      <c r="F681" s="1137"/>
      <c r="G681" s="835" t="s">
        <v>140</v>
      </c>
      <c r="H681" s="476">
        <v>17440</v>
      </c>
      <c r="I681" s="634" t="s">
        <v>15</v>
      </c>
      <c r="J681" s="732"/>
      <c r="L681" s="531" t="s">
        <v>271</v>
      </c>
    </row>
    <row r="682" spans="2:15" ht="15" customHeight="1" x14ac:dyDescent="0.2">
      <c r="B682" s="836"/>
      <c r="C682" s="837"/>
      <c r="D682" s="837"/>
      <c r="E682" s="837"/>
      <c r="F682" s="837"/>
      <c r="G682" s="838"/>
      <c r="H682" s="476">
        <f>SUBTOTAL(9,H677:H681)</f>
        <v>77511</v>
      </c>
      <c r="I682" s="634"/>
      <c r="J682" s="732"/>
      <c r="L682" s="531" t="s">
        <v>271</v>
      </c>
    </row>
    <row r="683" spans="2:15" x14ac:dyDescent="0.2">
      <c r="B683" s="650"/>
      <c r="C683" s="650"/>
      <c r="D683" s="650"/>
      <c r="E683" s="650"/>
      <c r="F683" s="650"/>
      <c r="G683" s="650"/>
      <c r="H683" s="650"/>
      <c r="I683" s="650"/>
      <c r="J683" s="651"/>
    </row>
    <row r="684" spans="2:15" ht="71.25" customHeight="1" x14ac:dyDescent="0.2">
      <c r="B684" s="1235" t="s">
        <v>460</v>
      </c>
      <c r="C684" s="1236"/>
      <c r="D684" s="1236"/>
      <c r="E684" s="1236"/>
      <c r="F684" s="1236"/>
      <c r="G684" s="1236"/>
      <c r="H684" s="1236"/>
      <c r="I684" s="1236"/>
      <c r="J684" s="1237"/>
      <c r="L684" s="531" t="s">
        <v>271</v>
      </c>
    </row>
    <row r="685" spans="2:15" ht="15" customHeight="1" x14ac:dyDescent="0.2">
      <c r="B685" s="1244" t="s">
        <v>461</v>
      </c>
      <c r="C685" s="1245"/>
      <c r="D685" s="1245"/>
      <c r="E685" s="1245"/>
      <c r="F685" s="1245"/>
      <c r="G685" s="835" t="s">
        <v>136</v>
      </c>
      <c r="H685" s="475">
        <v>2300</v>
      </c>
      <c r="I685" s="634" t="s">
        <v>15</v>
      </c>
      <c r="J685" s="732"/>
      <c r="L685" s="531" t="s">
        <v>271</v>
      </c>
    </row>
    <row r="686" spans="2:15" ht="15" customHeight="1" x14ac:dyDescent="0.2">
      <c r="B686" s="1244" t="s">
        <v>461</v>
      </c>
      <c r="C686" s="1245"/>
      <c r="D686" s="1245"/>
      <c r="E686" s="1245"/>
      <c r="F686" s="1245"/>
      <c r="G686" s="835" t="s">
        <v>137</v>
      </c>
      <c r="H686" s="475">
        <v>5175</v>
      </c>
      <c r="I686" s="634" t="s">
        <v>15</v>
      </c>
      <c r="J686" s="732"/>
      <c r="L686" s="531" t="s">
        <v>271</v>
      </c>
    </row>
    <row r="687" spans="2:15" ht="15" customHeight="1" x14ac:dyDescent="0.2">
      <c r="B687" s="1244" t="s">
        <v>461</v>
      </c>
      <c r="C687" s="1245"/>
      <c r="D687" s="1245"/>
      <c r="E687" s="1245"/>
      <c r="F687" s="1245"/>
      <c r="G687" s="835" t="s">
        <v>138</v>
      </c>
      <c r="H687" s="475">
        <v>5174</v>
      </c>
      <c r="I687" s="634" t="s">
        <v>15</v>
      </c>
      <c r="J687" s="732"/>
      <c r="L687" s="531" t="s">
        <v>271</v>
      </c>
      <c r="M687" s="1243" t="s">
        <v>273</v>
      </c>
      <c r="N687" s="1243"/>
    </row>
    <row r="688" spans="2:15" ht="15" customHeight="1" x14ac:dyDescent="0.2">
      <c r="B688" s="1244" t="s">
        <v>461</v>
      </c>
      <c r="C688" s="1245"/>
      <c r="D688" s="1245"/>
      <c r="E688" s="1245"/>
      <c r="F688" s="1245"/>
      <c r="G688" s="835" t="s">
        <v>139</v>
      </c>
      <c r="H688" s="475">
        <v>5175</v>
      </c>
      <c r="I688" s="634" t="s">
        <v>15</v>
      </c>
      <c r="J688" s="732"/>
      <c r="L688" s="531" t="s">
        <v>271</v>
      </c>
      <c r="N688" s="536"/>
      <c r="O688" s="543"/>
    </row>
    <row r="689" spans="2:16" ht="15" customHeight="1" x14ac:dyDescent="0.2">
      <c r="B689" s="1244" t="s">
        <v>461</v>
      </c>
      <c r="C689" s="1245"/>
      <c r="D689" s="1245"/>
      <c r="E689" s="1245"/>
      <c r="F689" s="1245"/>
      <c r="G689" s="835" t="s">
        <v>140</v>
      </c>
      <c r="H689" s="475">
        <v>5175</v>
      </c>
      <c r="I689" s="634" t="s">
        <v>15</v>
      </c>
      <c r="J689" s="732"/>
      <c r="L689" s="531" t="s">
        <v>271</v>
      </c>
      <c r="M689" s="543" t="s">
        <v>275</v>
      </c>
      <c r="N689" s="544">
        <f>ROUND(SUMIF($I$6:$I$323,"A1",$H$6:$H$323),0)</f>
        <v>18712112</v>
      </c>
    </row>
    <row r="690" spans="2:16" ht="15" customHeight="1" x14ac:dyDescent="0.2">
      <c r="B690" s="836"/>
      <c r="C690" s="837"/>
      <c r="D690" s="837"/>
      <c r="E690" s="837"/>
      <c r="F690" s="837"/>
      <c r="G690" s="835" t="s">
        <v>141</v>
      </c>
      <c r="H690" s="475">
        <f>SUBTOTAL(9,H685:H689)</f>
        <v>22999</v>
      </c>
      <c r="I690" s="634"/>
      <c r="J690" s="732"/>
      <c r="L690" s="531" t="s">
        <v>271</v>
      </c>
      <c r="M690" s="543" t="s">
        <v>276</v>
      </c>
      <c r="N690" s="544">
        <f>ROUND(SUMIFS($H$6:$H$323,$A$6:$A$323,"YEAR 1", $I$6:$I$323, "A2"),0)</f>
        <v>45909</v>
      </c>
    </row>
    <row r="691" spans="2:16" x14ac:dyDescent="0.2">
      <c r="B691" s="734"/>
      <c r="C691" s="650"/>
      <c r="D691" s="734"/>
      <c r="E691" s="734"/>
      <c r="F691" s="734"/>
      <c r="G691" s="734"/>
      <c r="H691" s="734"/>
      <c r="I691" s="735"/>
      <c r="J691" s="736"/>
      <c r="M691" s="543" t="s">
        <v>277</v>
      </c>
      <c r="N691" s="544">
        <f>ROUND(SUMIFS($H$6:$H$323,$A$6:$A$323,"&lt;&gt;YEAR 1", $I$6:$I$323, "A2"),0)</f>
        <v>2625570</v>
      </c>
    </row>
    <row r="692" spans="2:16" ht="15" customHeight="1" thickBot="1" x14ac:dyDescent="0.25">
      <c r="B692" s="1246" t="s">
        <v>283</v>
      </c>
      <c r="C692" s="1247"/>
      <c r="D692" s="1247"/>
      <c r="E692" s="1247"/>
      <c r="F692" s="1247"/>
      <c r="G692" s="1247"/>
      <c r="H692" s="839">
        <v>1200</v>
      </c>
      <c r="I692" s="840" t="s">
        <v>15</v>
      </c>
      <c r="J692" s="841"/>
      <c r="K692" s="530"/>
      <c r="L692" s="531" t="s">
        <v>134</v>
      </c>
      <c r="M692" s="543" t="s">
        <v>278</v>
      </c>
      <c r="N692" s="545">
        <f>SUM(N689:N691)</f>
        <v>21383591</v>
      </c>
    </row>
    <row r="693" spans="2:16" ht="15" customHeight="1" thickTop="1" x14ac:dyDescent="0.2">
      <c r="B693" s="1246" t="s">
        <v>285</v>
      </c>
      <c r="C693" s="1247"/>
      <c r="D693" s="1247"/>
      <c r="E693" s="1247"/>
      <c r="F693" s="1247"/>
      <c r="G693" s="1247"/>
      <c r="H693" s="842">
        <v>320</v>
      </c>
      <c r="I693" s="843" t="s">
        <v>15</v>
      </c>
      <c r="J693" s="844"/>
      <c r="L693" s="531" t="s">
        <v>134</v>
      </c>
      <c r="M693" s="543"/>
      <c r="N693" s="546"/>
    </row>
    <row r="694" spans="2:16" ht="15" customHeight="1" x14ac:dyDescent="0.2">
      <c r="B694" s="1246" t="s">
        <v>287</v>
      </c>
      <c r="C694" s="1247"/>
      <c r="D694" s="1247"/>
      <c r="E694" s="1247"/>
      <c r="F694" s="1247"/>
      <c r="G694" s="1247"/>
      <c r="H694" s="839">
        <v>1600</v>
      </c>
      <c r="I694" s="840" t="s">
        <v>15</v>
      </c>
      <c r="J694" s="841"/>
      <c r="L694" s="531" t="s">
        <v>134</v>
      </c>
      <c r="M694" s="543" t="s">
        <v>279</v>
      </c>
      <c r="N694" s="544">
        <f>ROUND(SUMIF($I$324:$I$379,"A1",$H$324:$H$379),0)</f>
        <v>42117</v>
      </c>
    </row>
    <row r="695" spans="2:16" x14ac:dyDescent="0.2">
      <c r="B695" s="1248" t="s">
        <v>288</v>
      </c>
      <c r="C695" s="1249"/>
      <c r="D695" s="1249"/>
      <c r="E695" s="1249"/>
      <c r="F695" s="1249"/>
      <c r="G695" s="1249"/>
      <c r="H695" s="1249"/>
      <c r="I695" s="1249"/>
      <c r="J695" s="1250"/>
      <c r="M695" s="543" t="s">
        <v>280</v>
      </c>
      <c r="N695" s="544">
        <f>ROUND(SUMIFS($H$324:$H$379,$A$324:$A$379,"YEAR 1", $I$324:$I$379, "A2"),0)</f>
        <v>2641</v>
      </c>
    </row>
    <row r="696" spans="2:16" ht="11.25" customHeight="1" thickBot="1" x14ac:dyDescent="0.25">
      <c r="B696" s="1132" t="s">
        <v>290</v>
      </c>
      <c r="C696" s="1132"/>
      <c r="D696" s="1132"/>
      <c r="E696" s="1132"/>
      <c r="F696" s="1132"/>
      <c r="G696" s="1132"/>
      <c r="H696" s="1132"/>
      <c r="I696" s="1132"/>
      <c r="J696" s="474">
        <f>ROUND(SUM(H698:H714),0)</f>
        <v>510721</v>
      </c>
      <c r="M696" s="543" t="s">
        <v>282</v>
      </c>
      <c r="N696" s="545">
        <f>SUM(N694:N695)</f>
        <v>44758</v>
      </c>
    </row>
    <row r="697" spans="2:16" ht="12.75" thickTop="1" x14ac:dyDescent="0.2">
      <c r="B697" s="1251" t="s">
        <v>292</v>
      </c>
      <c r="C697" s="1252"/>
      <c r="D697" s="1252"/>
      <c r="E697" s="1252"/>
      <c r="F697" s="1252"/>
      <c r="G697" s="1252"/>
      <c r="H697" s="1252"/>
      <c r="I697" s="845"/>
      <c r="J697" s="846"/>
      <c r="M697" s="543"/>
      <c r="N697" s="546"/>
    </row>
    <row r="698" spans="2:16" x14ac:dyDescent="0.2">
      <c r="B698" s="1261" t="s">
        <v>294</v>
      </c>
      <c r="C698" s="1262"/>
      <c r="D698" s="1262"/>
      <c r="E698" s="1262"/>
      <c r="F698" s="1262"/>
      <c r="G698" s="1262"/>
      <c r="H698" s="847">
        <v>240000</v>
      </c>
      <c r="I698" s="599" t="s">
        <v>15</v>
      </c>
      <c r="J698" s="678"/>
      <c r="L698" s="531" t="s">
        <v>271</v>
      </c>
      <c r="M698" s="543" t="s">
        <v>284</v>
      </c>
      <c r="N698" s="544">
        <f>ROUND(SUMIF($I$381:$I$384,"A1",$H$381:$H$384),0)</f>
        <v>2828</v>
      </c>
      <c r="P698" s="848"/>
    </row>
    <row r="699" spans="2:16" ht="12.75" thickBot="1" x14ac:dyDescent="0.25">
      <c r="B699" s="1263" t="s">
        <v>462</v>
      </c>
      <c r="C699" s="1264"/>
      <c r="D699" s="1264"/>
      <c r="E699" s="1264"/>
      <c r="F699" s="1264"/>
      <c r="G699" s="1264"/>
      <c r="H699" s="1264"/>
      <c r="I699" s="1264"/>
      <c r="J699" s="1265"/>
      <c r="M699" s="543" t="s">
        <v>286</v>
      </c>
      <c r="N699" s="545">
        <f>SUM(N698)</f>
        <v>2828</v>
      </c>
    </row>
    <row r="700" spans="2:16" ht="12.75" thickTop="1" x14ac:dyDescent="0.2">
      <c r="B700" s="1266" t="s">
        <v>297</v>
      </c>
      <c r="C700" s="1267"/>
      <c r="D700" s="1267"/>
      <c r="E700" s="1267"/>
      <c r="F700" s="1267"/>
      <c r="G700" s="1267"/>
      <c r="H700" s="847">
        <v>45000</v>
      </c>
      <c r="I700" s="599" t="s">
        <v>15</v>
      </c>
      <c r="J700" s="678"/>
      <c r="L700" s="531" t="s">
        <v>271</v>
      </c>
      <c r="M700" s="543"/>
      <c r="N700" s="546"/>
    </row>
    <row r="701" spans="2:16" x14ac:dyDescent="0.2">
      <c r="B701" s="1268" t="s">
        <v>462</v>
      </c>
      <c r="C701" s="1269"/>
      <c r="D701" s="1269"/>
      <c r="E701" s="1269"/>
      <c r="F701" s="1269"/>
      <c r="G701" s="1269"/>
      <c r="H701" s="1269"/>
      <c r="I701" s="1269"/>
      <c r="J701" s="1270"/>
      <c r="M701" s="543" t="s">
        <v>289</v>
      </c>
      <c r="N701" s="544">
        <f>SUMIF($I$389:$I$672,"A1",$E$389:$E$672)</f>
        <v>529105</v>
      </c>
    </row>
    <row r="702" spans="2:16" ht="24.75" customHeight="1" x14ac:dyDescent="0.2">
      <c r="B702" s="1244" t="s">
        <v>299</v>
      </c>
      <c r="C702" s="1245"/>
      <c r="D702" s="1245"/>
      <c r="E702" s="1245"/>
      <c r="F702" s="1245"/>
      <c r="G702" s="1245"/>
      <c r="H702" s="849">
        <v>34400</v>
      </c>
      <c r="I702" s="599" t="s">
        <v>15</v>
      </c>
      <c r="J702" s="850"/>
      <c r="K702" s="534"/>
      <c r="L702" s="531" t="s">
        <v>271</v>
      </c>
      <c r="M702" s="543" t="s">
        <v>291</v>
      </c>
      <c r="N702" s="544">
        <f>ROUND(SUMIFS($E$389:$E$672,$A$389:$A$672,"YEAR 1", $I$389:$I$672, "A2"),0)</f>
        <v>998055</v>
      </c>
    </row>
    <row r="703" spans="2:16" x14ac:dyDescent="0.2">
      <c r="B703" s="1271" t="s">
        <v>462</v>
      </c>
      <c r="C703" s="1199"/>
      <c r="D703" s="1199"/>
      <c r="E703" s="1199"/>
      <c r="F703" s="1199"/>
      <c r="G703" s="1199"/>
      <c r="H703" s="1199"/>
      <c r="I703" s="1199"/>
      <c r="J703" s="1200"/>
      <c r="K703" s="534"/>
      <c r="M703" s="543"/>
      <c r="N703" s="544"/>
    </row>
    <row r="704" spans="2:16" ht="24.75" customHeight="1" x14ac:dyDescent="0.2">
      <c r="B704" s="1244" t="s">
        <v>463</v>
      </c>
      <c r="C704" s="1245"/>
      <c r="D704" s="1245"/>
      <c r="E704" s="1245"/>
      <c r="F704" s="1245"/>
      <c r="G704" s="1245"/>
      <c r="H704" s="849">
        <v>100000</v>
      </c>
      <c r="I704" s="599" t="s">
        <v>15</v>
      </c>
      <c r="J704" s="850"/>
      <c r="K704" s="534"/>
      <c r="M704" s="543"/>
      <c r="N704" s="544"/>
    </row>
    <row r="705" spans="2:14" ht="24.75" customHeight="1" x14ac:dyDescent="0.2">
      <c r="B705" s="1253" t="s">
        <v>464</v>
      </c>
      <c r="C705" s="1254"/>
      <c r="D705" s="1254"/>
      <c r="E705" s="1254"/>
      <c r="F705" s="1254"/>
      <c r="G705" s="1254"/>
      <c r="H705" s="1254"/>
      <c r="I705" s="1254"/>
      <c r="J705" s="1255"/>
      <c r="K705" s="534"/>
      <c r="M705" s="543"/>
      <c r="N705" s="544"/>
    </row>
    <row r="706" spans="2:14" ht="24.75" customHeight="1" x14ac:dyDescent="0.35">
      <c r="B706" s="1256" t="s">
        <v>465</v>
      </c>
      <c r="C706" s="1257"/>
      <c r="D706" s="1257"/>
      <c r="E706" s="1257"/>
      <c r="F706" s="1257"/>
      <c r="G706" s="1257"/>
      <c r="H706" s="851">
        <f>9736+69078+211201-142670-102851-40883+35905</f>
        <v>39516</v>
      </c>
      <c r="I706" s="852" t="s">
        <v>15</v>
      </c>
      <c r="J706" s="853"/>
      <c r="K706" s="534"/>
      <c r="M706" s="543"/>
      <c r="N706" s="544"/>
    </row>
    <row r="707" spans="2:14" x14ac:dyDescent="0.2">
      <c r="B707" s="1258"/>
      <c r="C707" s="1259"/>
      <c r="D707" s="1259"/>
      <c r="E707" s="1259"/>
      <c r="F707" s="1259"/>
      <c r="G707" s="1259"/>
      <c r="H707" s="1259"/>
      <c r="I707" s="1259"/>
      <c r="J707" s="1260"/>
      <c r="K707" s="534"/>
      <c r="M707" s="543" t="s">
        <v>293</v>
      </c>
      <c r="N707" s="544">
        <f>ROUND(SUMIFS($E$389:$E$672,$A$389:$A$672,"&lt;&gt;YEAR 1", $I$389:$I$672, "A2"),0)</f>
        <v>2004652</v>
      </c>
    </row>
    <row r="708" spans="2:14" ht="12.75" thickBot="1" x14ac:dyDescent="0.25">
      <c r="B708" s="1158" t="s">
        <v>303</v>
      </c>
      <c r="C708" s="1148"/>
      <c r="D708" s="1148"/>
      <c r="E708" s="1148"/>
      <c r="F708" s="1148"/>
      <c r="G708" s="1148"/>
      <c r="H708" s="641">
        <v>37970</v>
      </c>
      <c r="I708" s="599" t="s">
        <v>15</v>
      </c>
      <c r="J708" s="678"/>
      <c r="K708" s="534"/>
      <c r="L708" s="531" t="s">
        <v>304</v>
      </c>
      <c r="M708" s="543" t="s">
        <v>296</v>
      </c>
      <c r="N708" s="545">
        <f>SUM(N701:N707)</f>
        <v>3531812</v>
      </c>
    </row>
    <row r="709" spans="2:14" ht="12.75" thickTop="1" x14ac:dyDescent="0.2">
      <c r="B709" s="1158" t="s">
        <v>305</v>
      </c>
      <c r="C709" s="1148"/>
      <c r="D709" s="1148"/>
      <c r="E709" s="1148"/>
      <c r="F709" s="1148"/>
      <c r="G709" s="1148"/>
      <c r="H709" s="641">
        <v>12100</v>
      </c>
      <c r="I709" s="599" t="s">
        <v>15</v>
      </c>
      <c r="J709" s="678"/>
      <c r="L709" s="531" t="s">
        <v>304</v>
      </c>
      <c r="M709" s="543"/>
      <c r="N709" s="546"/>
    </row>
    <row r="710" spans="2:14" x14ac:dyDescent="0.2">
      <c r="B710" s="1136" t="s">
        <v>307</v>
      </c>
      <c r="C710" s="1137"/>
      <c r="D710" s="1137"/>
      <c r="E710" s="1137"/>
      <c r="F710" s="1137"/>
      <c r="G710" s="1137"/>
      <c r="H710" s="1137"/>
      <c r="I710" s="1137"/>
      <c r="J710" s="1147"/>
      <c r="M710" s="543" t="s">
        <v>300</v>
      </c>
      <c r="N710" s="544">
        <f>ROUND(SUMIF($I$674:$I$695,"A1",$H$674:$H$695),0)</f>
        <v>103630</v>
      </c>
    </row>
    <row r="711" spans="2:14" ht="12.75" thickBot="1" x14ac:dyDescent="0.25">
      <c r="B711" s="1136" t="s">
        <v>309</v>
      </c>
      <c r="C711" s="1137"/>
      <c r="D711" s="1137"/>
      <c r="E711" s="1137"/>
      <c r="F711" s="1137"/>
      <c r="G711" s="1137"/>
      <c r="H711" s="641">
        <v>1735</v>
      </c>
      <c r="I711" s="599" t="s">
        <v>15</v>
      </c>
      <c r="J711" s="678"/>
      <c r="K711" s="534"/>
      <c r="L711" s="531" t="s">
        <v>134</v>
      </c>
      <c r="M711" s="543" t="s">
        <v>302</v>
      </c>
      <c r="N711" s="545">
        <f>SUM(N710)</f>
        <v>103630</v>
      </c>
    </row>
    <row r="712" spans="2:14" ht="12.75" customHeight="1" thickTop="1" x14ac:dyDescent="0.2">
      <c r="B712" s="1136" t="s">
        <v>288</v>
      </c>
      <c r="C712" s="1137"/>
      <c r="D712" s="1137"/>
      <c r="E712" s="1137"/>
      <c r="F712" s="1137"/>
      <c r="G712" s="1137"/>
      <c r="H712" s="1137"/>
      <c r="I712" s="1137"/>
      <c r="J712" s="1147"/>
      <c r="K712" s="534"/>
      <c r="M712" s="543"/>
      <c r="N712" s="546"/>
    </row>
    <row r="713" spans="2:14" x14ac:dyDescent="0.2">
      <c r="B713" s="1276"/>
      <c r="C713" s="1184"/>
      <c r="D713" s="1184"/>
      <c r="E713" s="1184"/>
      <c r="F713" s="1184"/>
      <c r="G713" s="1184"/>
      <c r="H713" s="1184"/>
      <c r="I713" s="1184"/>
      <c r="J713" s="1277"/>
      <c r="K713" s="534"/>
      <c r="M713" s="543" t="s">
        <v>306</v>
      </c>
      <c r="N713" s="544">
        <f>ROUND(SUMIF($I$697:$I$714,"A1",$H$697:$H$714),0)</f>
        <v>510721</v>
      </c>
    </row>
    <row r="714" spans="2:14" ht="22.5" customHeight="1" thickBot="1" x14ac:dyDescent="0.25">
      <c r="B714" s="1136" t="s">
        <v>466</v>
      </c>
      <c r="C714" s="1137"/>
      <c r="D714" s="1137"/>
      <c r="E714" s="1137"/>
      <c r="F714" s="1137"/>
      <c r="G714" s="1137"/>
      <c r="H714" s="1137"/>
      <c r="I714" s="1137"/>
      <c r="J714" s="1147"/>
      <c r="K714" s="534"/>
      <c r="M714" s="543" t="s">
        <v>308</v>
      </c>
      <c r="N714" s="545">
        <f>SUM(N713)</f>
        <v>510721</v>
      </c>
    </row>
    <row r="715" spans="2:14" ht="12.75" thickTop="1" x14ac:dyDescent="0.2">
      <c r="B715" s="1278" t="s">
        <v>314</v>
      </c>
      <c r="C715" s="1279"/>
      <c r="D715" s="1279"/>
      <c r="E715" s="1279"/>
      <c r="F715" s="1279"/>
      <c r="G715" s="1279"/>
      <c r="H715" s="1279"/>
      <c r="I715" s="1279"/>
      <c r="J715" s="854">
        <f>J3+J323+J385+J380+J389+J673+J696</f>
        <v>25577340</v>
      </c>
      <c r="M715" s="539"/>
    </row>
    <row r="716" spans="2:14" ht="13.5" customHeight="1" x14ac:dyDescent="0.2">
      <c r="B716" s="1136" t="s">
        <v>467</v>
      </c>
      <c r="C716" s="1137"/>
      <c r="D716" s="1137"/>
      <c r="E716" s="1137"/>
      <c r="F716" s="1137"/>
      <c r="G716" s="1272" t="s">
        <v>317</v>
      </c>
      <c r="H716" s="1272"/>
      <c r="I716" s="473">
        <v>0.1</v>
      </c>
      <c r="J716" s="855"/>
      <c r="K716" s="534"/>
      <c r="M716" s="539"/>
    </row>
    <row r="717" spans="2:14" ht="11.25" customHeight="1" x14ac:dyDescent="0.2">
      <c r="B717" s="1273" t="s">
        <v>319</v>
      </c>
      <c r="C717" s="1274"/>
      <c r="D717" s="1274"/>
      <c r="E717" s="1274"/>
      <c r="F717" s="1274"/>
      <c r="G717" s="1274"/>
      <c r="H717" s="1274"/>
      <c r="I717" s="1274"/>
      <c r="J717" s="856">
        <f>ROUND((J715-J389)*I716,0)</f>
        <v>2204553</v>
      </c>
      <c r="K717" s="530"/>
      <c r="M717" s="543" t="s">
        <v>312</v>
      </c>
      <c r="N717" s="547">
        <f>ROUND(SUM(N713,N710,N698,N694,N689)*0.1,0)</f>
        <v>1937141</v>
      </c>
    </row>
    <row r="718" spans="2:14" ht="13.5" customHeight="1" x14ac:dyDescent="0.2">
      <c r="C718" s="708"/>
      <c r="D718" s="708"/>
      <c r="E718" s="708"/>
      <c r="F718" s="708"/>
      <c r="G718" s="708"/>
      <c r="H718" s="708"/>
      <c r="I718" s="634"/>
      <c r="J718" s="692"/>
      <c r="M718" s="543" t="s">
        <v>313</v>
      </c>
      <c r="N718" s="547">
        <f>ROUND(SUM(N690,N695)*0.1,0)</f>
        <v>4855</v>
      </c>
    </row>
    <row r="719" spans="2:14" ht="12.75" thickBot="1" x14ac:dyDescent="0.25">
      <c r="B719" s="1275" t="s">
        <v>321</v>
      </c>
      <c r="C719" s="1275"/>
      <c r="D719" s="1275"/>
      <c r="E719" s="1275"/>
      <c r="F719" s="1275"/>
      <c r="G719" s="1275"/>
      <c r="H719" s="1275"/>
      <c r="I719" s="1275"/>
      <c r="J719" s="538">
        <f>ROUND(SUM(J717+J715),0)</f>
        <v>27781893</v>
      </c>
      <c r="M719" s="543" t="s">
        <v>315</v>
      </c>
      <c r="N719" s="547">
        <f>ROUND(SUM(N691*0.1),0)</f>
        <v>262557</v>
      </c>
    </row>
    <row r="720" spans="2:14" ht="12" customHeight="1" thickTop="1" thickBot="1" x14ac:dyDescent="0.25">
      <c r="B720" s="534"/>
      <c r="C720" s="534"/>
      <c r="D720" s="534"/>
      <c r="E720" s="534"/>
      <c r="F720" s="534"/>
      <c r="G720" s="534"/>
      <c r="K720" s="546"/>
      <c r="M720" s="543" t="s">
        <v>318</v>
      </c>
      <c r="N720" s="548">
        <f>ROUNDUP(SUM(N717:N719),0)</f>
        <v>2204553</v>
      </c>
    </row>
    <row r="721" spans="2:14" ht="12.75" thickTop="1" x14ac:dyDescent="0.2">
      <c r="B721" s="534"/>
      <c r="C721" s="534"/>
      <c r="D721" s="534"/>
      <c r="E721" s="534"/>
      <c r="F721" s="534"/>
      <c r="G721" s="534"/>
      <c r="M721" s="539"/>
    </row>
    <row r="722" spans="2:14" x14ac:dyDescent="0.2">
      <c r="B722" s="534"/>
      <c r="C722" s="534"/>
      <c r="D722" s="534"/>
      <c r="E722" s="534"/>
      <c r="F722" s="534"/>
      <c r="G722" s="534"/>
      <c r="I722" s="529" t="s">
        <v>15</v>
      </c>
      <c r="J722" s="540">
        <v>21837654</v>
      </c>
      <c r="M722" s="543" t="s">
        <v>320</v>
      </c>
      <c r="N722" s="549">
        <f>SUM(N720,N714,N711,N708,N699,N696,N692)</f>
        <v>27781893</v>
      </c>
    </row>
    <row r="723" spans="2:14" x14ac:dyDescent="0.2">
      <c r="B723" s="534"/>
      <c r="C723" s="534"/>
      <c r="D723" s="534"/>
      <c r="E723" s="534"/>
      <c r="I723" s="529" t="s">
        <v>26</v>
      </c>
      <c r="J723" s="540">
        <v>1051460</v>
      </c>
      <c r="M723" s="543" t="s">
        <v>322</v>
      </c>
      <c r="N723" s="549">
        <f>N722-J719</f>
        <v>0</v>
      </c>
    </row>
    <row r="724" spans="2:14" ht="12.75" thickBot="1" x14ac:dyDescent="0.25">
      <c r="B724" s="541"/>
      <c r="C724" s="534"/>
      <c r="D724" s="534"/>
      <c r="E724" s="534"/>
      <c r="I724" s="529" t="s">
        <v>323</v>
      </c>
      <c r="J724" s="542">
        <f>SUM(J722:J723)</f>
        <v>22889114</v>
      </c>
    </row>
    <row r="725" spans="2:14" ht="12.75" thickTop="1" x14ac:dyDescent="0.2">
      <c r="B725" s="759"/>
      <c r="I725" s="531"/>
      <c r="J725" s="531"/>
    </row>
    <row r="726" spans="2:14" x14ac:dyDescent="0.2">
      <c r="B726" s="549"/>
      <c r="F726" s="529" t="s">
        <v>326</v>
      </c>
      <c r="G726" s="530" t="e">
        <f>#REF!</f>
        <v>#REF!</v>
      </c>
      <c r="I726" s="529" t="s">
        <v>15</v>
      </c>
      <c r="J726" s="532">
        <f>SUM(N689,N694,N698,N701,N710,N713)</f>
        <v>19900513</v>
      </c>
    </row>
    <row r="727" spans="2:14" x14ac:dyDescent="0.2">
      <c r="F727" s="529" t="s">
        <v>327</v>
      </c>
      <c r="G727" s="530" t="e">
        <f>#REF!</f>
        <v>#REF!</v>
      </c>
      <c r="I727" s="529" t="s">
        <v>324</v>
      </c>
      <c r="J727" s="532">
        <f>SUM(N690,N695,N702)</f>
        <v>1046605</v>
      </c>
    </row>
    <row r="728" spans="2:14" x14ac:dyDescent="0.2">
      <c r="F728" s="529" t="s">
        <v>328</v>
      </c>
      <c r="G728" s="530" t="e">
        <f>#REF!</f>
        <v>#REF!</v>
      </c>
      <c r="I728" s="529" t="s">
        <v>325</v>
      </c>
      <c r="J728" s="532">
        <f>SUM(N717:N718)</f>
        <v>1941996</v>
      </c>
    </row>
    <row r="729" spans="2:14" ht="12.75" thickBot="1" x14ac:dyDescent="0.25">
      <c r="F729" s="529" t="s">
        <v>330</v>
      </c>
      <c r="G729" s="530" t="e">
        <f>#REF!</f>
        <v>#REF!</v>
      </c>
      <c r="I729" s="529" t="s">
        <v>320</v>
      </c>
      <c r="J729" s="533">
        <f>SUM(J726:J728)</f>
        <v>22889114</v>
      </c>
    </row>
    <row r="730" spans="2:14" ht="12.75" thickTop="1" x14ac:dyDescent="0.2">
      <c r="C730" s="759"/>
      <c r="F730" s="529" t="s">
        <v>149</v>
      </c>
      <c r="G730" s="530" t="e">
        <f>#REF!</f>
        <v>#REF!</v>
      </c>
      <c r="I730" s="534"/>
      <c r="J730" s="534"/>
    </row>
    <row r="731" spans="2:14" x14ac:dyDescent="0.2">
      <c r="F731" s="529" t="s">
        <v>116</v>
      </c>
      <c r="G731" s="530" t="e">
        <f>#REF!</f>
        <v>#REF!</v>
      </c>
      <c r="I731" s="534"/>
      <c r="J731" s="534"/>
    </row>
    <row r="732" spans="2:14" x14ac:dyDescent="0.2">
      <c r="F732" s="529" t="s">
        <v>332</v>
      </c>
      <c r="G732" s="530" t="e">
        <f>#REF!</f>
        <v>#REF!</v>
      </c>
      <c r="I732" s="529" t="s">
        <v>15</v>
      </c>
      <c r="J732" s="535">
        <f>J726</f>
        <v>19900513</v>
      </c>
    </row>
    <row r="733" spans="2:14" x14ac:dyDescent="0.2">
      <c r="F733" s="529" t="s">
        <v>333</v>
      </c>
      <c r="G733" s="530" t="e">
        <f>#REF!</f>
        <v>#REF!</v>
      </c>
      <c r="I733" s="529" t="s">
        <v>312</v>
      </c>
      <c r="J733" s="532">
        <f>ROUND(SUM(J726-SUM(E397:E398,E408:E412,E434:E443,E453:E457,E467:E471,E481:E482,E492:E493,E503:E507,E531:E535,E564:E573))*0.1,0)</f>
        <v>1937141</v>
      </c>
    </row>
    <row r="734" spans="2:14" ht="12.75" thickBot="1" x14ac:dyDescent="0.25">
      <c r="F734" s="529" t="s">
        <v>134</v>
      </c>
      <c r="G734" s="530" t="e">
        <f>#REF!</f>
        <v>#REF!</v>
      </c>
      <c r="I734" s="529" t="s">
        <v>329</v>
      </c>
      <c r="J734" s="533">
        <f>SUM(J732:J733)</f>
        <v>21837654</v>
      </c>
    </row>
    <row r="735" spans="2:14" ht="12.75" thickTop="1" x14ac:dyDescent="0.2">
      <c r="F735" s="529" t="s">
        <v>155</v>
      </c>
      <c r="G735" s="530" t="e">
        <f>#REF!</f>
        <v>#REF!</v>
      </c>
      <c r="I735" s="535"/>
      <c r="J735" s="534"/>
    </row>
    <row r="736" spans="2:14" x14ac:dyDescent="0.2">
      <c r="F736" s="529"/>
      <c r="G736" s="530" t="e">
        <f>SUM(G726:G735)</f>
        <v>#REF!</v>
      </c>
      <c r="I736" s="529" t="s">
        <v>324</v>
      </c>
      <c r="J736" s="535">
        <f>SUM(N690,N695,N702)</f>
        <v>1046605</v>
      </c>
    </row>
    <row r="737" spans="6:12" x14ac:dyDescent="0.2">
      <c r="F737" s="529"/>
      <c r="G737" s="534">
        <v>-26581913</v>
      </c>
      <c r="I737" s="529" t="s">
        <v>331</v>
      </c>
      <c r="J737" s="535">
        <f>N718</f>
        <v>4855</v>
      </c>
    </row>
    <row r="738" spans="6:12" ht="12.75" thickBot="1" x14ac:dyDescent="0.25">
      <c r="F738" s="534"/>
      <c r="G738" s="530" t="e">
        <f>G736+G737</f>
        <v>#REF!</v>
      </c>
      <c r="I738" s="534"/>
      <c r="J738" s="533">
        <f>SUM(J736:J737)</f>
        <v>1051460</v>
      </c>
    </row>
    <row r="739" spans="6:12" ht="12.75" thickTop="1" x14ac:dyDescent="0.2">
      <c r="I739" s="534"/>
      <c r="J739" s="534"/>
    </row>
    <row r="740" spans="6:12" x14ac:dyDescent="0.2">
      <c r="I740" s="534"/>
      <c r="J740" s="534"/>
    </row>
    <row r="741" spans="6:12" x14ac:dyDescent="0.2">
      <c r="I741" s="534"/>
      <c r="J741" s="534"/>
      <c r="L741" s="759"/>
    </row>
    <row r="742" spans="6:12" x14ac:dyDescent="0.2">
      <c r="I742" s="529" t="s">
        <v>334</v>
      </c>
      <c r="J742" s="532">
        <f>ROUND(SUMIFS($H$6:$H$384,$A$6:$A$384,"&lt;&gt;YEAR 1", $I$6:$I$384, "A2"),0)</f>
        <v>2625570</v>
      </c>
    </row>
    <row r="743" spans="6:12" x14ac:dyDescent="0.2">
      <c r="I743" s="529" t="s">
        <v>335</v>
      </c>
      <c r="J743" s="535">
        <f>N707</f>
        <v>2004652</v>
      </c>
    </row>
    <row r="744" spans="6:12" x14ac:dyDescent="0.2">
      <c r="I744" s="529" t="s">
        <v>315</v>
      </c>
      <c r="J744" s="532">
        <f>J742*0.1</f>
        <v>262557</v>
      </c>
    </row>
    <row r="745" spans="6:12" ht="12.75" thickBot="1" x14ac:dyDescent="0.25">
      <c r="I745" s="529" t="s">
        <v>336</v>
      </c>
      <c r="J745" s="533">
        <f>SUM(J742:J744)</f>
        <v>4892779</v>
      </c>
    </row>
    <row r="746" spans="6:12" ht="12.75" thickTop="1" x14ac:dyDescent="0.2">
      <c r="J746" s="534"/>
    </row>
    <row r="747" spans="6:12" x14ac:dyDescent="0.2">
      <c r="I747" s="536" t="s">
        <v>337</v>
      </c>
      <c r="J747" s="535">
        <f>J722</f>
        <v>21837654</v>
      </c>
    </row>
    <row r="748" spans="6:12" x14ac:dyDescent="0.2">
      <c r="I748" s="536" t="s">
        <v>338</v>
      </c>
      <c r="J748" s="535">
        <f>J734</f>
        <v>21837654</v>
      </c>
    </row>
    <row r="749" spans="6:12" ht="12.75" thickBot="1" x14ac:dyDescent="0.25">
      <c r="I749" s="536" t="s">
        <v>322</v>
      </c>
      <c r="J749" s="533">
        <f>J747-J748</f>
        <v>0</v>
      </c>
    </row>
    <row r="750" spans="6:12" ht="12.75" thickTop="1" x14ac:dyDescent="0.2">
      <c r="I750" s="529"/>
      <c r="J750" s="535"/>
    </row>
    <row r="751" spans="6:12" x14ac:dyDescent="0.2">
      <c r="I751" s="529" t="s">
        <v>340</v>
      </c>
      <c r="J751" s="535">
        <f>J723</f>
        <v>1051460</v>
      </c>
    </row>
    <row r="752" spans="6:12" x14ac:dyDescent="0.2">
      <c r="I752" s="529" t="s">
        <v>341</v>
      </c>
      <c r="J752" s="535">
        <f>J738</f>
        <v>1051460</v>
      </c>
    </row>
    <row r="753" spans="9:10" x14ac:dyDescent="0.2">
      <c r="I753" s="529" t="s">
        <v>342</v>
      </c>
      <c r="J753" s="532">
        <f>J751-J752</f>
        <v>0</v>
      </c>
    </row>
    <row r="754" spans="9:10" x14ac:dyDescent="0.2">
      <c r="I754" s="529"/>
      <c r="J754" s="535"/>
    </row>
    <row r="755" spans="9:10" x14ac:dyDescent="0.2">
      <c r="I755" s="529" t="s">
        <v>343</v>
      </c>
      <c r="J755" s="532">
        <v>22889114</v>
      </c>
    </row>
    <row r="756" spans="9:10" x14ac:dyDescent="0.2">
      <c r="I756" s="529" t="s">
        <v>344</v>
      </c>
      <c r="J756" s="532">
        <f>J729*-1</f>
        <v>-22889114</v>
      </c>
    </row>
    <row r="757" spans="9:10" ht="12.75" thickBot="1" x14ac:dyDescent="0.25">
      <c r="I757" s="529" t="s">
        <v>342</v>
      </c>
      <c r="J757" s="537">
        <f>SUM(J755:J756)</f>
        <v>0</v>
      </c>
    </row>
    <row r="758" spans="9:10" ht="12.75" thickTop="1" x14ac:dyDescent="0.2">
      <c r="I758" s="531"/>
      <c r="J758" s="531"/>
    </row>
    <row r="759" spans="9:10" x14ac:dyDescent="0.2">
      <c r="I759" s="531"/>
      <c r="J759" s="531"/>
    </row>
    <row r="760" spans="9:10" x14ac:dyDescent="0.2">
      <c r="I760" s="531"/>
      <c r="J760" s="531"/>
    </row>
    <row r="761" spans="9:10" x14ac:dyDescent="0.2">
      <c r="I761" s="531"/>
      <c r="J761" s="531"/>
    </row>
    <row r="762" spans="9:10" x14ac:dyDescent="0.2">
      <c r="I762" s="531"/>
      <c r="J762" s="531"/>
    </row>
    <row r="763" spans="9:10" x14ac:dyDescent="0.2">
      <c r="I763" s="531"/>
      <c r="J763" s="531"/>
    </row>
    <row r="764" spans="9:10" x14ac:dyDescent="0.2">
      <c r="I764" s="531"/>
      <c r="J764" s="531"/>
    </row>
    <row r="765" spans="9:10" x14ac:dyDescent="0.2">
      <c r="I765" s="531"/>
      <c r="J765" s="531"/>
    </row>
    <row r="766" spans="9:10" x14ac:dyDescent="0.2">
      <c r="I766" s="531"/>
      <c r="J766" s="531"/>
    </row>
    <row r="767" spans="9:10" x14ac:dyDescent="0.2">
      <c r="I767" s="531"/>
      <c r="J767" s="531"/>
    </row>
    <row r="768" spans="9:10" x14ac:dyDescent="0.2">
      <c r="I768" s="531"/>
      <c r="J768" s="531"/>
    </row>
    <row r="769" spans="1:10" x14ac:dyDescent="0.2">
      <c r="A769" s="534"/>
      <c r="I769" s="531"/>
      <c r="J769" s="531"/>
    </row>
    <row r="770" spans="1:10" x14ac:dyDescent="0.2">
      <c r="A770" s="534"/>
      <c r="B770" s="534"/>
      <c r="C770" s="534"/>
      <c r="D770" s="534"/>
      <c r="E770" s="534"/>
      <c r="F770" s="534"/>
      <c r="G770" s="534"/>
    </row>
    <row r="771" spans="1:10" x14ac:dyDescent="0.2">
      <c r="A771" s="534"/>
      <c r="B771" s="534"/>
      <c r="C771" s="534"/>
      <c r="D771" s="534"/>
      <c r="H771" s="536"/>
      <c r="I771" s="539"/>
    </row>
    <row r="772" spans="1:10" x14ac:dyDescent="0.2">
      <c r="A772" s="534"/>
      <c r="B772" s="534"/>
      <c r="C772" s="534"/>
      <c r="G772" s="534"/>
      <c r="I772" s="531"/>
    </row>
    <row r="773" spans="1:10" x14ac:dyDescent="0.2">
      <c r="A773" s="534"/>
      <c r="B773" s="534"/>
      <c r="C773" s="534"/>
      <c r="G773" s="534"/>
      <c r="I773" s="531"/>
    </row>
    <row r="774" spans="1:10" x14ac:dyDescent="0.2">
      <c r="A774" s="534"/>
      <c r="B774" s="534"/>
      <c r="C774" s="534"/>
      <c r="G774" s="534"/>
      <c r="I774" s="531"/>
    </row>
    <row r="775" spans="1:10" x14ac:dyDescent="0.2">
      <c r="A775" s="534"/>
      <c r="B775" s="534"/>
      <c r="C775" s="534"/>
      <c r="G775" s="534"/>
      <c r="I775" s="531"/>
    </row>
    <row r="776" spans="1:10" x14ac:dyDescent="0.2">
      <c r="B776" s="534"/>
      <c r="C776" s="534"/>
      <c r="G776" s="534"/>
      <c r="I776" s="531"/>
    </row>
    <row r="777" spans="1:10" x14ac:dyDescent="0.2">
      <c r="B777" s="534"/>
      <c r="C777" s="534"/>
      <c r="G777" s="534"/>
      <c r="I777" s="531"/>
    </row>
    <row r="778" spans="1:10" x14ac:dyDescent="0.2">
      <c r="C778" s="534"/>
      <c r="G778" s="534"/>
      <c r="I778" s="531"/>
    </row>
    <row r="779" spans="1:10" x14ac:dyDescent="0.2">
      <c r="C779" s="534"/>
      <c r="G779" s="529"/>
      <c r="I779" s="531"/>
    </row>
    <row r="780" spans="1:10" x14ac:dyDescent="0.2">
      <c r="C780" s="534"/>
      <c r="G780" s="529"/>
      <c r="I780" s="531"/>
    </row>
    <row r="781" spans="1:10" x14ac:dyDescent="0.2">
      <c r="C781" s="534"/>
      <c r="G781" s="857"/>
      <c r="I781" s="531"/>
    </row>
    <row r="782" spans="1:10" x14ac:dyDescent="0.2">
      <c r="C782" s="534"/>
      <c r="G782" s="532"/>
      <c r="I782" s="531"/>
    </row>
    <row r="783" spans="1:10" x14ac:dyDescent="0.2">
      <c r="C783" s="534"/>
      <c r="G783" s="534"/>
      <c r="I783" s="531"/>
    </row>
    <row r="784" spans="1:10" x14ac:dyDescent="0.2">
      <c r="C784" s="534"/>
      <c r="G784" s="534"/>
      <c r="I784" s="531"/>
    </row>
    <row r="785" spans="1:9" x14ac:dyDescent="0.2">
      <c r="C785" s="534"/>
      <c r="G785" s="534"/>
      <c r="I785" s="531"/>
    </row>
    <row r="786" spans="1:9" x14ac:dyDescent="0.2">
      <c r="C786" s="534"/>
      <c r="G786" s="535"/>
      <c r="I786" s="531"/>
    </row>
    <row r="787" spans="1:9" x14ac:dyDescent="0.2">
      <c r="C787" s="532"/>
      <c r="G787" s="535"/>
      <c r="I787" s="531"/>
    </row>
    <row r="788" spans="1:9" x14ac:dyDescent="0.2">
      <c r="C788" s="532"/>
      <c r="G788" s="534"/>
      <c r="I788" s="531"/>
    </row>
    <row r="789" spans="1:9" x14ac:dyDescent="0.2">
      <c r="A789" s="534"/>
      <c r="C789" s="532"/>
      <c r="G789" s="534"/>
      <c r="I789" s="531"/>
    </row>
    <row r="790" spans="1:9" x14ac:dyDescent="0.2">
      <c r="A790" s="534"/>
      <c r="C790" s="532"/>
      <c r="G790" s="534"/>
      <c r="I790" s="531"/>
    </row>
    <row r="791" spans="1:9" x14ac:dyDescent="0.2">
      <c r="A791" s="534"/>
      <c r="B791" s="534"/>
      <c r="C791" s="532"/>
      <c r="G791" s="534"/>
      <c r="I791" s="531"/>
    </row>
    <row r="792" spans="1:9" x14ac:dyDescent="0.2">
      <c r="A792" s="534"/>
      <c r="B792" s="534"/>
      <c r="C792" s="532"/>
      <c r="G792" s="534"/>
      <c r="I792" s="531"/>
    </row>
    <row r="793" spans="1:9" x14ac:dyDescent="0.2">
      <c r="A793" s="534"/>
      <c r="B793" s="534"/>
      <c r="C793" s="534"/>
      <c r="G793" s="534"/>
      <c r="I793" s="531"/>
    </row>
    <row r="794" spans="1:9" x14ac:dyDescent="0.2">
      <c r="A794" s="534"/>
      <c r="B794" s="534"/>
      <c r="C794" s="534"/>
      <c r="G794" s="534"/>
      <c r="I794" s="531"/>
    </row>
    <row r="795" spans="1:9" x14ac:dyDescent="0.2">
      <c r="A795" s="534"/>
      <c r="B795" s="534"/>
      <c r="C795" s="534"/>
      <c r="G795" s="534"/>
      <c r="I795" s="531"/>
    </row>
    <row r="796" spans="1:9" x14ac:dyDescent="0.2">
      <c r="A796" s="534"/>
      <c r="B796" s="534"/>
      <c r="C796" s="534"/>
      <c r="G796" s="534"/>
      <c r="I796" s="531"/>
    </row>
    <row r="797" spans="1:9" x14ac:dyDescent="0.2">
      <c r="A797" s="534"/>
      <c r="B797" s="534"/>
      <c r="C797" s="534"/>
      <c r="G797" s="534"/>
      <c r="I797" s="531"/>
    </row>
    <row r="798" spans="1:9" x14ac:dyDescent="0.2">
      <c r="A798" s="534"/>
      <c r="B798" s="534"/>
      <c r="C798" s="534"/>
      <c r="G798" s="534"/>
      <c r="I798" s="531"/>
    </row>
    <row r="799" spans="1:9" x14ac:dyDescent="0.2">
      <c r="A799" s="534"/>
      <c r="B799" s="534"/>
      <c r="C799" s="534"/>
      <c r="G799" s="534"/>
      <c r="I799" s="531"/>
    </row>
    <row r="800" spans="1:9" x14ac:dyDescent="0.2">
      <c r="A800" s="534"/>
      <c r="B800" s="534"/>
      <c r="C800" s="534"/>
      <c r="G800" s="534"/>
      <c r="I800" s="531"/>
    </row>
    <row r="801" spans="1:9" x14ac:dyDescent="0.2">
      <c r="A801" s="534"/>
      <c r="B801" s="534"/>
      <c r="C801" s="534"/>
      <c r="G801" s="534"/>
      <c r="I801" s="531"/>
    </row>
    <row r="802" spans="1:9" x14ac:dyDescent="0.2">
      <c r="A802" s="534"/>
      <c r="B802" s="534"/>
      <c r="C802" s="534"/>
      <c r="G802" s="534"/>
      <c r="I802" s="531"/>
    </row>
    <row r="803" spans="1:9" x14ac:dyDescent="0.2">
      <c r="A803" s="534"/>
      <c r="B803" s="534"/>
      <c r="C803" s="534"/>
      <c r="G803" s="534"/>
      <c r="I803" s="531"/>
    </row>
    <row r="804" spans="1:9" x14ac:dyDescent="0.2">
      <c r="A804" s="534"/>
      <c r="B804" s="534"/>
      <c r="C804" s="534"/>
      <c r="G804" s="534"/>
      <c r="H804" s="529"/>
      <c r="I804" s="539"/>
    </row>
    <row r="805" spans="1:9" x14ac:dyDescent="0.2">
      <c r="A805" s="534"/>
      <c r="B805" s="534"/>
      <c r="C805" s="534"/>
      <c r="G805" s="534"/>
      <c r="H805" s="529"/>
      <c r="I805" s="539"/>
    </row>
    <row r="806" spans="1:9" x14ac:dyDescent="0.2">
      <c r="A806" s="534"/>
      <c r="B806" s="534"/>
      <c r="C806" s="534"/>
      <c r="G806" s="534"/>
      <c r="H806" s="534"/>
      <c r="I806" s="539"/>
    </row>
    <row r="807" spans="1:9" x14ac:dyDescent="0.2">
      <c r="A807" s="534"/>
      <c r="B807" s="534"/>
      <c r="C807" s="534"/>
      <c r="G807" s="534"/>
      <c r="H807" s="534"/>
      <c r="I807" s="539"/>
    </row>
    <row r="808" spans="1:9" x14ac:dyDescent="0.2">
      <c r="A808" s="534"/>
      <c r="B808" s="534"/>
      <c r="C808" s="534"/>
      <c r="H808" s="536"/>
      <c r="I808" s="539"/>
    </row>
    <row r="809" spans="1:9" x14ac:dyDescent="0.2">
      <c r="A809" s="534"/>
      <c r="B809" s="534"/>
      <c r="C809" s="534"/>
      <c r="D809" s="534"/>
      <c r="E809" s="534"/>
      <c r="F809" s="534"/>
      <c r="H809" s="536"/>
      <c r="I809" s="539"/>
    </row>
    <row r="810" spans="1:9" x14ac:dyDescent="0.2">
      <c r="A810" s="534"/>
      <c r="B810" s="534"/>
      <c r="C810" s="534"/>
      <c r="D810" s="534"/>
      <c r="E810" s="534"/>
      <c r="F810" s="534"/>
      <c r="H810" s="536"/>
      <c r="I810" s="539"/>
    </row>
    <row r="811" spans="1:9" x14ac:dyDescent="0.2">
      <c r="A811" s="534"/>
      <c r="B811" s="534"/>
      <c r="C811" s="534"/>
      <c r="D811" s="534"/>
      <c r="E811" s="534"/>
      <c r="F811" s="534"/>
      <c r="H811" s="536"/>
      <c r="I811" s="539"/>
    </row>
    <row r="812" spans="1:9" x14ac:dyDescent="0.2">
      <c r="A812" s="534"/>
      <c r="B812" s="534"/>
      <c r="C812" s="534"/>
      <c r="D812" s="534"/>
      <c r="E812" s="534"/>
      <c r="F812" s="534"/>
      <c r="H812" s="536"/>
      <c r="I812" s="539"/>
    </row>
    <row r="813" spans="1:9" x14ac:dyDescent="0.2">
      <c r="A813" s="534"/>
      <c r="B813" s="534"/>
      <c r="C813" s="534"/>
      <c r="D813" s="534"/>
      <c r="E813" s="534"/>
      <c r="F813" s="534"/>
      <c r="H813" s="536"/>
      <c r="I813" s="539"/>
    </row>
    <row r="814" spans="1:9" x14ac:dyDescent="0.2">
      <c r="B814" s="534"/>
      <c r="C814" s="534"/>
      <c r="D814" s="534"/>
      <c r="E814" s="534"/>
      <c r="F814" s="534"/>
      <c r="H814" s="536"/>
      <c r="I814" s="539"/>
    </row>
    <row r="815" spans="1:9" x14ac:dyDescent="0.2">
      <c r="B815" s="534"/>
      <c r="C815" s="534"/>
      <c r="D815" s="534"/>
      <c r="E815" s="534"/>
      <c r="F815" s="534"/>
      <c r="H815" s="536"/>
      <c r="I815" s="539"/>
    </row>
  </sheetData>
  <sheetProtection formatCells="0" formatColumns="0" formatRows="0" insertColumns="0" insertRows="0" insertHyperlinks="0" deleteColumns="0" deleteRows="0" selectLockedCells="1" sort="0" autoFilter="0" pivotTables="0"/>
  <dataConsolidate/>
  <mergeCells count="324">
    <mergeCell ref="B716:F716"/>
    <mergeCell ref="G716:H716"/>
    <mergeCell ref="B717:I717"/>
    <mergeCell ref="B719:I719"/>
    <mergeCell ref="B710:J710"/>
    <mergeCell ref="B711:G711"/>
    <mergeCell ref="B712:J712"/>
    <mergeCell ref="B713:J713"/>
    <mergeCell ref="B714:J714"/>
    <mergeCell ref="B715:I715"/>
    <mergeCell ref="B704:G704"/>
    <mergeCell ref="B705:J705"/>
    <mergeCell ref="B706:G706"/>
    <mergeCell ref="B707:J707"/>
    <mergeCell ref="B708:G708"/>
    <mergeCell ref="B709:G709"/>
    <mergeCell ref="B698:G698"/>
    <mergeCell ref="B699:J699"/>
    <mergeCell ref="B700:G700"/>
    <mergeCell ref="B701:J701"/>
    <mergeCell ref="B702:G702"/>
    <mergeCell ref="B703:J703"/>
    <mergeCell ref="B692:G692"/>
    <mergeCell ref="B693:G693"/>
    <mergeCell ref="B694:G694"/>
    <mergeCell ref="B695:J695"/>
    <mergeCell ref="B696:I696"/>
    <mergeCell ref="B697:H697"/>
    <mergeCell ref="B685:F685"/>
    <mergeCell ref="B686:F686"/>
    <mergeCell ref="B687:F687"/>
    <mergeCell ref="M687:N687"/>
    <mergeCell ref="B688:F688"/>
    <mergeCell ref="B689:F689"/>
    <mergeCell ref="B677:F677"/>
    <mergeCell ref="B678:F678"/>
    <mergeCell ref="B679:F679"/>
    <mergeCell ref="B680:F680"/>
    <mergeCell ref="B681:F681"/>
    <mergeCell ref="B684:J684"/>
    <mergeCell ref="C672:J672"/>
    <mergeCell ref="B673:I673"/>
    <mergeCell ref="B674:J674"/>
    <mergeCell ref="B675:J675"/>
    <mergeCell ref="B676:G676"/>
    <mergeCell ref="I676:J676"/>
    <mergeCell ref="B664:D664"/>
    <mergeCell ref="B666:D666"/>
    <mergeCell ref="B667:D667"/>
    <mergeCell ref="B668:D668"/>
    <mergeCell ref="B669:D669"/>
    <mergeCell ref="B671:D671"/>
    <mergeCell ref="B657:D657"/>
    <mergeCell ref="B658:D658"/>
    <mergeCell ref="B660:D660"/>
    <mergeCell ref="B661:D661"/>
    <mergeCell ref="B662:D662"/>
    <mergeCell ref="B663:D663"/>
    <mergeCell ref="B650:D650"/>
    <mergeCell ref="B651:D651"/>
    <mergeCell ref="B652:D652"/>
    <mergeCell ref="B653:D653"/>
    <mergeCell ref="B655:D655"/>
    <mergeCell ref="B656:D656"/>
    <mergeCell ref="C642:J642"/>
    <mergeCell ref="C643:J643"/>
    <mergeCell ref="B645:D645"/>
    <mergeCell ref="B646:D646"/>
    <mergeCell ref="B647:D647"/>
    <mergeCell ref="B648:D648"/>
    <mergeCell ref="B638:J638"/>
    <mergeCell ref="C639:D639"/>
    <mergeCell ref="E639:F639"/>
    <mergeCell ref="B640:C640"/>
    <mergeCell ref="D640:J640"/>
    <mergeCell ref="C641:J641"/>
    <mergeCell ref="B631:D631"/>
    <mergeCell ref="B632:D632"/>
    <mergeCell ref="B633:D633"/>
    <mergeCell ref="B634:D634"/>
    <mergeCell ref="B635:D635"/>
    <mergeCell ref="C637:J637"/>
    <mergeCell ref="B625:D625"/>
    <mergeCell ref="B626:D626"/>
    <mergeCell ref="B627:D627"/>
    <mergeCell ref="B628:D628"/>
    <mergeCell ref="B629:D629"/>
    <mergeCell ref="B630:D630"/>
    <mergeCell ref="B619:D619"/>
    <mergeCell ref="B620:D620"/>
    <mergeCell ref="B621:D621"/>
    <mergeCell ref="B622:D622"/>
    <mergeCell ref="B623:D623"/>
    <mergeCell ref="B624:D624"/>
    <mergeCell ref="B613:D613"/>
    <mergeCell ref="B614:D614"/>
    <mergeCell ref="B615:D615"/>
    <mergeCell ref="B616:D616"/>
    <mergeCell ref="B617:D617"/>
    <mergeCell ref="B618:D618"/>
    <mergeCell ref="C606:J606"/>
    <mergeCell ref="C607:J607"/>
    <mergeCell ref="C608:J608"/>
    <mergeCell ref="C609:J609"/>
    <mergeCell ref="B611:D611"/>
    <mergeCell ref="B612:D612"/>
    <mergeCell ref="C594:J594"/>
    <mergeCell ref="C595:J595"/>
    <mergeCell ref="C603:J603"/>
    <mergeCell ref="B604:J604"/>
    <mergeCell ref="C605:D605"/>
    <mergeCell ref="E605:F605"/>
    <mergeCell ref="B586:D586"/>
    <mergeCell ref="B587:D587"/>
    <mergeCell ref="C589:J589"/>
    <mergeCell ref="C591:D591"/>
    <mergeCell ref="E591:F591"/>
    <mergeCell ref="C593:J593"/>
    <mergeCell ref="C579:J579"/>
    <mergeCell ref="C580:J580"/>
    <mergeCell ref="C581:J581"/>
    <mergeCell ref="B583:D583"/>
    <mergeCell ref="B584:D584"/>
    <mergeCell ref="B585:D585"/>
    <mergeCell ref="C562:J562"/>
    <mergeCell ref="B574:D574"/>
    <mergeCell ref="C575:J575"/>
    <mergeCell ref="C577:D577"/>
    <mergeCell ref="E577:F577"/>
    <mergeCell ref="B578:E578"/>
    <mergeCell ref="C556:J556"/>
    <mergeCell ref="C558:D558"/>
    <mergeCell ref="E558:F558"/>
    <mergeCell ref="C559:J559"/>
    <mergeCell ref="C560:J560"/>
    <mergeCell ref="C561:J561"/>
    <mergeCell ref="C540:J540"/>
    <mergeCell ref="C541:J541"/>
    <mergeCell ref="C542:J542"/>
    <mergeCell ref="C543:J543"/>
    <mergeCell ref="B554:C554"/>
    <mergeCell ref="B555:D555"/>
    <mergeCell ref="C527:J527"/>
    <mergeCell ref="C528:J528"/>
    <mergeCell ref="C529:J529"/>
    <mergeCell ref="B536:D536"/>
    <mergeCell ref="C537:J537"/>
    <mergeCell ref="C539:D539"/>
    <mergeCell ref="E539:F539"/>
    <mergeCell ref="C515:J515"/>
    <mergeCell ref="B522:D522"/>
    <mergeCell ref="C523:J523"/>
    <mergeCell ref="C525:D525"/>
    <mergeCell ref="E525:F525"/>
    <mergeCell ref="C526:J526"/>
    <mergeCell ref="B510:J510"/>
    <mergeCell ref="C511:D511"/>
    <mergeCell ref="E511:F511"/>
    <mergeCell ref="C512:J512"/>
    <mergeCell ref="C513:J513"/>
    <mergeCell ref="C514:J514"/>
    <mergeCell ref="C498:J498"/>
    <mergeCell ref="C499:J499"/>
    <mergeCell ref="C500:J500"/>
    <mergeCell ref="C501:J501"/>
    <mergeCell ref="B508:D508"/>
    <mergeCell ref="C509:J509"/>
    <mergeCell ref="C489:J489"/>
    <mergeCell ref="C490:J490"/>
    <mergeCell ref="B494:D494"/>
    <mergeCell ref="C495:J495"/>
    <mergeCell ref="B496:J496"/>
    <mergeCell ref="C497:E497"/>
    <mergeCell ref="B483:D483"/>
    <mergeCell ref="C484:J484"/>
    <mergeCell ref="C486:D486"/>
    <mergeCell ref="E486:F486"/>
    <mergeCell ref="C487:J487"/>
    <mergeCell ref="C488:J488"/>
    <mergeCell ref="C475:D475"/>
    <mergeCell ref="E475:F475"/>
    <mergeCell ref="C476:J476"/>
    <mergeCell ref="C477:J477"/>
    <mergeCell ref="C478:J478"/>
    <mergeCell ref="C479:J479"/>
    <mergeCell ref="C468:D468"/>
    <mergeCell ref="C469:D469"/>
    <mergeCell ref="C470:D470"/>
    <mergeCell ref="C471:D471"/>
    <mergeCell ref="B472:D472"/>
    <mergeCell ref="C473:J473"/>
    <mergeCell ref="C462:J462"/>
    <mergeCell ref="C463:J463"/>
    <mergeCell ref="C464:J464"/>
    <mergeCell ref="C465:J465"/>
    <mergeCell ref="C466:D466"/>
    <mergeCell ref="C467:D467"/>
    <mergeCell ref="F448:J448"/>
    <mergeCell ref="C449:J449"/>
    <mergeCell ref="C450:J450"/>
    <mergeCell ref="C451:J451"/>
    <mergeCell ref="C459:J459"/>
    <mergeCell ref="C461:D461"/>
    <mergeCell ref="E461:F461"/>
    <mergeCell ref="C430:J430"/>
    <mergeCell ref="C431:J431"/>
    <mergeCell ref="C432:J432"/>
    <mergeCell ref="C445:J445"/>
    <mergeCell ref="C447:D447"/>
    <mergeCell ref="E447:F447"/>
    <mergeCell ref="C420:J420"/>
    <mergeCell ref="B425:D425"/>
    <mergeCell ref="C426:J426"/>
    <mergeCell ref="C428:D428"/>
    <mergeCell ref="E428:F428"/>
    <mergeCell ref="C429:J429"/>
    <mergeCell ref="C414:J414"/>
    <mergeCell ref="C416:D416"/>
    <mergeCell ref="E416:F416"/>
    <mergeCell ref="C417:J417"/>
    <mergeCell ref="C418:J418"/>
    <mergeCell ref="C419:J419"/>
    <mergeCell ref="B408:C408"/>
    <mergeCell ref="B409:C409"/>
    <mergeCell ref="B410:C410"/>
    <mergeCell ref="B411:C411"/>
    <mergeCell ref="B412:C412"/>
    <mergeCell ref="B413:D413"/>
    <mergeCell ref="C402:D402"/>
    <mergeCell ref="E402:F402"/>
    <mergeCell ref="C403:J403"/>
    <mergeCell ref="C404:J404"/>
    <mergeCell ref="C405:J405"/>
    <mergeCell ref="C406:J406"/>
    <mergeCell ref="C392:J392"/>
    <mergeCell ref="C393:J393"/>
    <mergeCell ref="C394:J394"/>
    <mergeCell ref="C395:J395"/>
    <mergeCell ref="B399:D399"/>
    <mergeCell ref="C400:J400"/>
    <mergeCell ref="B386:H386"/>
    <mergeCell ref="B387:G387"/>
    <mergeCell ref="B389:I389"/>
    <mergeCell ref="B390:H390"/>
    <mergeCell ref="C391:D391"/>
    <mergeCell ref="E391:F391"/>
    <mergeCell ref="B380:I380"/>
    <mergeCell ref="B381:H381"/>
    <mergeCell ref="B382:G382"/>
    <mergeCell ref="B383:G383"/>
    <mergeCell ref="B384:J384"/>
    <mergeCell ref="B385:I385"/>
    <mergeCell ref="B367:F367"/>
    <mergeCell ref="B368:G368"/>
    <mergeCell ref="C370:G370"/>
    <mergeCell ref="B373:J373"/>
    <mergeCell ref="C375:G375"/>
    <mergeCell ref="B378:J378"/>
    <mergeCell ref="B334:J334"/>
    <mergeCell ref="C336:G336"/>
    <mergeCell ref="B345:F345"/>
    <mergeCell ref="C347:G347"/>
    <mergeCell ref="B356:F356"/>
    <mergeCell ref="C358:G358"/>
    <mergeCell ref="B317:J317"/>
    <mergeCell ref="H319:I319"/>
    <mergeCell ref="H320:I320"/>
    <mergeCell ref="B323:I323"/>
    <mergeCell ref="B324:H324"/>
    <mergeCell ref="C325:G325"/>
    <mergeCell ref="B281:J281"/>
    <mergeCell ref="B287:J287"/>
    <mergeCell ref="B293:J293"/>
    <mergeCell ref="B299:J299"/>
    <mergeCell ref="B305:J305"/>
    <mergeCell ref="B311:J311"/>
    <mergeCell ref="B245:J245"/>
    <mergeCell ref="B251:J251"/>
    <mergeCell ref="B257:J257"/>
    <mergeCell ref="B263:J263"/>
    <mergeCell ref="B269:J269"/>
    <mergeCell ref="B275:J275"/>
    <mergeCell ref="B209:J209"/>
    <mergeCell ref="B215:J215"/>
    <mergeCell ref="B221:J221"/>
    <mergeCell ref="B227:J227"/>
    <mergeCell ref="B233:J233"/>
    <mergeCell ref="B239:J239"/>
    <mergeCell ref="B173:J173"/>
    <mergeCell ref="B179:J179"/>
    <mergeCell ref="B185:J185"/>
    <mergeCell ref="B191:J191"/>
    <mergeCell ref="B197:J197"/>
    <mergeCell ref="B203:J203"/>
    <mergeCell ref="B137:J137"/>
    <mergeCell ref="B143:J143"/>
    <mergeCell ref="B149:J149"/>
    <mergeCell ref="B155:J155"/>
    <mergeCell ref="B161:J161"/>
    <mergeCell ref="B167:J167"/>
    <mergeCell ref="B101:J101"/>
    <mergeCell ref="B107:J107"/>
    <mergeCell ref="B113:J113"/>
    <mergeCell ref="B119:J119"/>
    <mergeCell ref="B125:J125"/>
    <mergeCell ref="B131:J131"/>
    <mergeCell ref="B83:J83"/>
    <mergeCell ref="B89:J89"/>
    <mergeCell ref="B95:J95"/>
    <mergeCell ref="B29:J29"/>
    <mergeCell ref="B35:J35"/>
    <mergeCell ref="B41:J41"/>
    <mergeCell ref="B47:J47"/>
    <mergeCell ref="B53:J53"/>
    <mergeCell ref="B59:J59"/>
    <mergeCell ref="B1:J1"/>
    <mergeCell ref="B2:J2"/>
    <mergeCell ref="B3:I3"/>
    <mergeCell ref="B11:J11"/>
    <mergeCell ref="B17:J17"/>
    <mergeCell ref="B23:J23"/>
    <mergeCell ref="B65:J65"/>
    <mergeCell ref="B71:J71"/>
    <mergeCell ref="B77:J77"/>
  </mergeCells>
  <conditionalFormatting sqref="I1:I2 H319 I320:I322 I324:I372 I375:I379 I381:I384 I386:I388 I390:I391 I397:I399 I401:I402 I408:I413 I415:I416 I421:I425 I427:I428 I446:I448 I452:I458 I460:I463 I481:I483 I503:I508 I576:I578 I582:I588 I590:I592 I596:I602 I604:I605 I610:I636 I638:I639 I644:I671 I677:I683 I685:I695 N688 M689:M723 I697:I698 I700 I702 I716 I718 I720 I770 H808:H815 I816:I1048576">
    <cfRule type="containsText" dxfId="29" priority="41" operator="containsText" text="A2">
      <formula>NOT(ISERROR(SEARCH("A2",H1)))</formula>
    </cfRule>
  </conditionalFormatting>
  <conditionalFormatting sqref="I4:I318">
    <cfRule type="containsText" dxfId="28" priority="3" operator="containsText" text="A2">
      <formula>NOT(ISERROR(SEARCH("A2",I4)))</formula>
    </cfRule>
  </conditionalFormatting>
  <conditionalFormatting sqref="I433:I444">
    <cfRule type="containsText" dxfId="27" priority="36" operator="containsText" text="A2">
      <formula>NOT(ISERROR(SEARCH("A2",I433)))</formula>
    </cfRule>
  </conditionalFormatting>
  <conditionalFormatting sqref="I465:I472">
    <cfRule type="containsText" dxfId="26" priority="2" operator="containsText" text="A2">
      <formula>NOT(ISERROR(SEARCH("A2",I465)))</formula>
    </cfRule>
  </conditionalFormatting>
  <conditionalFormatting sqref="I474:I475">
    <cfRule type="containsText" dxfId="25" priority="34" operator="containsText" text="A2">
      <formula>NOT(ISERROR(SEARCH("A2",I474)))</formula>
    </cfRule>
  </conditionalFormatting>
  <conditionalFormatting sqref="I485:I486">
    <cfRule type="containsText" dxfId="24" priority="32" operator="containsText" text="A2">
      <formula>NOT(ISERROR(SEARCH("A2",I485)))</formula>
    </cfRule>
  </conditionalFormatting>
  <conditionalFormatting sqref="I492:I494">
    <cfRule type="containsText" dxfId="23" priority="33" operator="containsText" text="A2">
      <formula>NOT(ISERROR(SEARCH("A2",I492)))</formula>
    </cfRule>
  </conditionalFormatting>
  <conditionalFormatting sqref="I497">
    <cfRule type="containsText" dxfId="22" priority="31" operator="containsText" text="A2">
      <formula>NOT(ISERROR(SEARCH("A2",I497)))</formula>
    </cfRule>
  </conditionalFormatting>
  <conditionalFormatting sqref="I511">
    <cfRule type="containsText" dxfId="21" priority="28" operator="containsText" text="A2">
      <formula>NOT(ISERROR(SEARCH("A2",I511)))</formula>
    </cfRule>
  </conditionalFormatting>
  <conditionalFormatting sqref="I517:I522">
    <cfRule type="containsText" dxfId="20" priority="30" operator="containsText" text="A2">
      <formula>NOT(ISERROR(SEARCH("A2",I517)))</formula>
    </cfRule>
  </conditionalFormatting>
  <conditionalFormatting sqref="I524:I525">
    <cfRule type="containsText" dxfId="19" priority="25" operator="containsText" text="A2">
      <formula>NOT(ISERROR(SEARCH("A2",I524)))</formula>
    </cfRule>
  </conditionalFormatting>
  <conditionalFormatting sqref="I531:I536">
    <cfRule type="containsText" dxfId="18" priority="27" operator="containsText" text="A2">
      <formula>NOT(ISERROR(SEARCH("A2",I531)))</formula>
    </cfRule>
  </conditionalFormatting>
  <conditionalFormatting sqref="I538:I539">
    <cfRule type="containsText" dxfId="17" priority="23" operator="containsText" text="A2">
      <formula>NOT(ISERROR(SEARCH("A2",I538)))</formula>
    </cfRule>
  </conditionalFormatting>
  <conditionalFormatting sqref="I545:I555">
    <cfRule type="containsText" dxfId="16" priority="18" operator="containsText" text="A2">
      <formula>NOT(ISERROR(SEARCH("A2",I545)))</formula>
    </cfRule>
  </conditionalFormatting>
  <conditionalFormatting sqref="I557:I558">
    <cfRule type="containsText" dxfId="15" priority="16" operator="containsText" text="A2">
      <formula>NOT(ISERROR(SEARCH("A2",I557)))</formula>
    </cfRule>
  </conditionalFormatting>
  <conditionalFormatting sqref="I564:I574">
    <cfRule type="containsText" dxfId="14" priority="10" operator="containsText" text="A2">
      <formula>NOT(ISERROR(SEARCH("A2",I564)))</formula>
    </cfRule>
  </conditionalFormatting>
  <conditionalFormatting sqref="I704:I711">
    <cfRule type="containsText" dxfId="13" priority="1" operator="containsText" text="A2">
      <formula>NOT(ISERROR(SEARCH("A2",I704)))</formula>
    </cfRule>
  </conditionalFormatting>
  <conditionalFormatting sqref="J729">
    <cfRule type="cellIs" dxfId="12" priority="51" operator="lessThanOrEqual">
      <formula>$J$724</formula>
    </cfRule>
    <cfRule type="cellIs" dxfId="11" priority="50" operator="greaterThan">
      <formula>$J$724</formula>
    </cfRule>
  </conditionalFormatting>
  <conditionalFormatting sqref="J734">
    <cfRule type="cellIs" dxfId="10" priority="49" operator="lessThanOrEqual">
      <formula>$J$722</formula>
    </cfRule>
    <cfRule type="cellIs" dxfId="9" priority="48" operator="greaterThan">
      <formula>$J$722</formula>
    </cfRule>
  </conditionalFormatting>
  <conditionalFormatting sqref="J738">
    <cfRule type="cellIs" dxfId="8" priority="52" operator="greaterThan">
      <formula>$J$723</formula>
    </cfRule>
    <cfRule type="cellIs" dxfId="7" priority="53" operator="lessThanOrEqual">
      <formula>$J$723</formula>
    </cfRule>
  </conditionalFormatting>
  <conditionalFormatting sqref="J749">
    <cfRule type="cellIs" dxfId="6" priority="44" operator="greaterThanOrEqual">
      <formula>0</formula>
    </cfRule>
    <cfRule type="cellIs" dxfId="5" priority="45" operator="lessThan">
      <formula>0</formula>
    </cfRule>
  </conditionalFormatting>
  <conditionalFormatting sqref="J753">
    <cfRule type="cellIs" dxfId="4" priority="42" operator="lessThan">
      <formula>0</formula>
    </cfRule>
    <cfRule type="cellIs" dxfId="3" priority="43" operator="greaterThanOrEqual">
      <formula>0</formula>
    </cfRule>
  </conditionalFormatting>
  <conditionalFormatting sqref="J757">
    <cfRule type="cellIs" dxfId="2" priority="46" operator="lessThan">
      <formula>0</formula>
    </cfRule>
    <cfRule type="cellIs" dxfId="1" priority="47" operator="greaterThan">
      <formula>0</formula>
    </cfRule>
  </conditionalFormatting>
  <pageMargins left="0.2" right="0.2" top="0.25" bottom="0.25" header="0.3" footer="0.3"/>
  <pageSetup scale="72" fitToHeight="0" orientation="portrait" r:id="rId1"/>
  <colBreaks count="1" manualBreakCount="1">
    <brk id="10" max="104"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E205C-D515-47A2-84B7-00776A1D2A9A}">
  <sheetPr>
    <pageSetUpPr fitToPage="1"/>
  </sheetPr>
  <dimension ref="A1:M180"/>
  <sheetViews>
    <sheetView showGridLines="0" tabSelected="1" topLeftCell="A56" zoomScale="115" zoomScaleNormal="115" workbookViewId="0">
      <selection activeCell="G85" sqref="G85"/>
    </sheetView>
  </sheetViews>
  <sheetFormatPr defaultColWidth="5.5703125" defaultRowHeight="12" x14ac:dyDescent="0.2"/>
  <cols>
    <col min="1" max="1" width="30.28515625" style="531" customWidth="1"/>
    <col min="2" max="2" width="12.42578125" style="531" bestFit="1" customWidth="1"/>
    <col min="3" max="3" width="11.7109375" style="531" bestFit="1" customWidth="1"/>
    <col min="4" max="4" width="13.5703125" style="531" bestFit="1" customWidth="1"/>
    <col min="5" max="5" width="12.42578125" style="531" bestFit="1" customWidth="1"/>
    <col min="6" max="6" width="19" style="531" customWidth="1"/>
    <col min="7" max="7" width="12" style="882" customWidth="1"/>
    <col min="8" max="8" width="51.28515625" style="531" customWidth="1"/>
    <col min="9" max="9" width="13.28515625" style="531" bestFit="1" customWidth="1"/>
    <col min="10" max="10" width="21.7109375" style="531" bestFit="1" customWidth="1"/>
    <col min="11" max="12" width="12" style="531" bestFit="1" customWidth="1"/>
    <col min="13" max="16384" width="5.5703125" style="531"/>
  </cols>
  <sheetData>
    <row r="1" spans="1:8" x14ac:dyDescent="0.2">
      <c r="A1" s="1280" t="s">
        <v>0</v>
      </c>
      <c r="B1" s="1280"/>
      <c r="C1" s="1280"/>
      <c r="D1" s="1280"/>
      <c r="E1" s="1280"/>
      <c r="F1" s="1280"/>
      <c r="G1" s="1280"/>
      <c r="H1" s="534"/>
    </row>
    <row r="2" spans="1:8" ht="24.4" customHeight="1" x14ac:dyDescent="0.2">
      <c r="A2" s="1281" t="s">
        <v>345</v>
      </c>
      <c r="B2" s="1281"/>
      <c r="C2" s="1281"/>
      <c r="D2" s="1281"/>
      <c r="E2" s="1281"/>
      <c r="F2" s="1281"/>
      <c r="G2" s="1281"/>
      <c r="H2" s="534"/>
    </row>
    <row r="3" spans="1:8" x14ac:dyDescent="0.2">
      <c r="A3" s="1324" t="s">
        <v>574</v>
      </c>
      <c r="B3" s="1325"/>
      <c r="C3" s="1325"/>
      <c r="D3" s="1325"/>
      <c r="E3" s="1325"/>
      <c r="F3" s="1326"/>
      <c r="G3" s="1344">
        <f>ROUND(SUM(G4:G13),0)</f>
        <v>0</v>
      </c>
      <c r="H3" s="550"/>
    </row>
    <row r="4" spans="1:8" ht="24" x14ac:dyDescent="0.2">
      <c r="A4" s="557" t="s">
        <v>560</v>
      </c>
      <c r="B4" s="525" t="s">
        <v>5</v>
      </c>
      <c r="C4" s="525" t="s">
        <v>6</v>
      </c>
      <c r="D4" s="524" t="s">
        <v>7</v>
      </c>
      <c r="E4" s="557" t="s">
        <v>8</v>
      </c>
      <c r="F4" s="558" t="s">
        <v>9</v>
      </c>
      <c r="G4" s="879" t="s">
        <v>10</v>
      </c>
      <c r="H4" s="901" t="s">
        <v>469</v>
      </c>
    </row>
    <row r="5" spans="1:8" x14ac:dyDescent="0.2">
      <c r="A5" s="864" t="s">
        <v>573</v>
      </c>
      <c r="B5" s="863">
        <v>0</v>
      </c>
      <c r="C5" s="505">
        <v>0.42499999999999999</v>
      </c>
      <c r="D5" s="504">
        <v>1</v>
      </c>
      <c r="E5" s="561">
        <v>12</v>
      </c>
      <c r="F5" s="503">
        <f>E5/12</f>
        <v>1</v>
      </c>
      <c r="G5" s="880">
        <f>ROUND(B5*(1+C5)*D5*F5,0)</f>
        <v>0</v>
      </c>
    </row>
    <row r="6" spans="1:8" ht="15.75" customHeight="1" x14ac:dyDescent="0.2">
      <c r="A6" s="1282" t="s">
        <v>561</v>
      </c>
      <c r="B6" s="1282"/>
      <c r="C6" s="1282"/>
      <c r="D6" s="1282"/>
      <c r="E6" s="1282"/>
      <c r="F6" s="1282"/>
      <c r="G6" s="1282"/>
    </row>
    <row r="7" spans="1:8" ht="24" x14ac:dyDescent="0.2">
      <c r="A7" s="557" t="s">
        <v>560</v>
      </c>
      <c r="B7" s="525" t="s">
        <v>5</v>
      </c>
      <c r="C7" s="525" t="s">
        <v>6</v>
      </c>
      <c r="D7" s="524" t="s">
        <v>7</v>
      </c>
      <c r="E7" s="557" t="s">
        <v>8</v>
      </c>
      <c r="F7" s="558" t="s">
        <v>9</v>
      </c>
      <c r="G7" s="879" t="s">
        <v>10</v>
      </c>
      <c r="H7" s="901" t="s">
        <v>469</v>
      </c>
    </row>
    <row r="8" spans="1:8" x14ac:dyDescent="0.2">
      <c r="A8" s="864" t="s">
        <v>573</v>
      </c>
      <c r="B8" s="863">
        <v>0</v>
      </c>
      <c r="C8" s="505">
        <v>0.42499999999999999</v>
      </c>
      <c r="D8" s="504">
        <v>1</v>
      </c>
      <c r="E8" s="561">
        <v>12</v>
      </c>
      <c r="F8" s="503">
        <f>E8/12</f>
        <v>1</v>
      </c>
      <c r="G8" s="880">
        <f>ROUND(B8*(1+C8)*D8*F8,0)</f>
        <v>0</v>
      </c>
    </row>
    <row r="9" spans="1:8" ht="15.75" customHeight="1" x14ac:dyDescent="0.2">
      <c r="A9" s="1282" t="s">
        <v>561</v>
      </c>
      <c r="B9" s="1282"/>
      <c r="C9" s="1282"/>
      <c r="D9" s="1282"/>
      <c r="E9" s="1282"/>
      <c r="F9" s="1282"/>
      <c r="G9" s="1282"/>
    </row>
    <row r="10" spans="1:8" ht="24" x14ac:dyDescent="0.2">
      <c r="A10" s="557" t="s">
        <v>560</v>
      </c>
      <c r="B10" s="525" t="s">
        <v>5</v>
      </c>
      <c r="C10" s="525" t="s">
        <v>6</v>
      </c>
      <c r="D10" s="524" t="s">
        <v>7</v>
      </c>
      <c r="E10" s="557" t="s">
        <v>8</v>
      </c>
      <c r="F10" s="558" t="s">
        <v>9</v>
      </c>
      <c r="G10" s="879" t="s">
        <v>10</v>
      </c>
      <c r="H10" s="901" t="s">
        <v>469</v>
      </c>
    </row>
    <row r="11" spans="1:8" x14ac:dyDescent="0.2">
      <c r="A11" s="864" t="s">
        <v>573</v>
      </c>
      <c r="B11" s="863">
        <v>0</v>
      </c>
      <c r="C11" s="505">
        <v>0.42499999999999999</v>
      </c>
      <c r="D11" s="504">
        <v>1</v>
      </c>
      <c r="E11" s="561">
        <v>12</v>
      </c>
      <c r="F11" s="503">
        <f>E11/12</f>
        <v>1</v>
      </c>
      <c r="G11" s="880">
        <f>ROUND(B11*(1+C11)*D11*F11,0)</f>
        <v>0</v>
      </c>
    </row>
    <row r="12" spans="1:8" ht="15.75" customHeight="1" x14ac:dyDescent="0.2">
      <c r="A12" s="1282" t="s">
        <v>561</v>
      </c>
      <c r="B12" s="1282"/>
      <c r="C12" s="1282"/>
      <c r="D12" s="1282"/>
      <c r="E12" s="1282"/>
      <c r="F12" s="1282"/>
      <c r="G12" s="1282"/>
    </row>
    <row r="13" spans="1:8" x14ac:dyDescent="0.2">
      <c r="A13" s="1302"/>
      <c r="B13" s="1302"/>
      <c r="C13" s="1302"/>
      <c r="D13" s="1302"/>
      <c r="E13" s="1302"/>
      <c r="F13" s="1302"/>
      <c r="G13" s="1302"/>
      <c r="H13" s="550" t="s">
        <v>108</v>
      </c>
    </row>
    <row r="14" spans="1:8" ht="12.75" customHeight="1" x14ac:dyDescent="0.2">
      <c r="A14" s="1321" t="s">
        <v>110</v>
      </c>
      <c r="B14" s="1322"/>
      <c r="C14" s="1322"/>
      <c r="D14" s="1322"/>
      <c r="E14" s="1322"/>
      <c r="F14" s="1323"/>
      <c r="G14" s="865">
        <f>SUMPRODUCT(B4:B13,D4:D13,F4:F13)</f>
        <v>0</v>
      </c>
      <c r="H14" s="588"/>
    </row>
    <row r="15" spans="1:8" ht="12.75" customHeight="1" x14ac:dyDescent="0.2">
      <c r="A15" s="1318" t="s">
        <v>109</v>
      </c>
      <c r="B15" s="1319"/>
      <c r="C15" s="1319"/>
      <c r="D15" s="1319"/>
      <c r="E15" s="1319"/>
      <c r="F15" s="1320"/>
      <c r="G15" s="865">
        <f>SUMPRODUCT(B4:B13,C4:C13,D4:D13,F4:F13)</f>
        <v>0</v>
      </c>
      <c r="H15" s="588"/>
    </row>
    <row r="16" spans="1:8" ht="12.75" customHeight="1" x14ac:dyDescent="0.2">
      <c r="A16" s="1318" t="s">
        <v>562</v>
      </c>
      <c r="B16" s="1319"/>
      <c r="C16" s="1319"/>
      <c r="D16" s="1319"/>
      <c r="E16" s="1319"/>
      <c r="F16" s="1320"/>
      <c r="G16" s="870">
        <f>SUM(D4:D13)</f>
        <v>3</v>
      </c>
      <c r="H16" s="588"/>
    </row>
    <row r="17" spans="1:8" x14ac:dyDescent="0.2">
      <c r="A17" s="1309"/>
      <c r="B17" s="1309"/>
      <c r="C17" s="1309"/>
      <c r="D17" s="1309"/>
      <c r="E17" s="1309"/>
      <c r="F17" s="1309"/>
      <c r="G17" s="1309"/>
      <c r="H17" s="588"/>
    </row>
    <row r="18" spans="1:8" x14ac:dyDescent="0.2">
      <c r="A18" s="1291" t="s">
        <v>112</v>
      </c>
      <c r="B18" s="1292"/>
      <c r="C18" s="1292"/>
      <c r="D18" s="1292"/>
      <c r="E18" s="1292"/>
      <c r="F18" s="1292"/>
      <c r="G18" s="912">
        <f>ROUND(SUM(G19,G30),0)</f>
        <v>0</v>
      </c>
    </row>
    <row r="19" spans="1:8" ht="12.75" customHeight="1" x14ac:dyDescent="0.2">
      <c r="A19" s="885" t="s">
        <v>114</v>
      </c>
      <c r="B19" s="1314" t="s">
        <v>384</v>
      </c>
      <c r="C19" s="1314"/>
      <c r="D19" s="1314"/>
      <c r="E19" s="1314"/>
      <c r="F19" s="1314"/>
      <c r="G19" s="910">
        <f>SUM(F21:G27)</f>
        <v>0</v>
      </c>
      <c r="H19" s="534" t="s">
        <v>563</v>
      </c>
    </row>
    <row r="20" spans="1:8" ht="24" x14ac:dyDescent="0.2">
      <c r="A20" s="871" t="s">
        <v>117</v>
      </c>
      <c r="B20" s="563" t="s">
        <v>118</v>
      </c>
      <c r="C20" s="872" t="s">
        <v>119</v>
      </c>
      <c r="D20" s="872" t="s">
        <v>120</v>
      </c>
      <c r="E20" s="873" t="s">
        <v>121</v>
      </c>
      <c r="F20" s="637"/>
      <c r="G20" s="911"/>
      <c r="H20" s="588"/>
    </row>
    <row r="21" spans="1:8" ht="24" x14ac:dyDescent="0.2">
      <c r="A21" s="899" t="s">
        <v>122</v>
      </c>
      <c r="B21" s="562">
        <v>0</v>
      </c>
      <c r="C21" s="874">
        <v>0</v>
      </c>
      <c r="D21" s="875"/>
      <c r="E21" s="561">
        <v>0</v>
      </c>
      <c r="F21" s="1293">
        <f>ROUND(B21*C21*E21,0)</f>
        <v>0</v>
      </c>
      <c r="G21" s="1293"/>
      <c r="H21" s="867"/>
    </row>
    <row r="22" spans="1:8" ht="24" x14ac:dyDescent="0.2">
      <c r="A22" s="899" t="s">
        <v>124</v>
      </c>
      <c r="B22" s="562">
        <v>0</v>
      </c>
      <c r="C22" s="874">
        <v>0</v>
      </c>
      <c r="D22" s="875"/>
      <c r="E22" s="561">
        <v>0</v>
      </c>
      <c r="F22" s="1293">
        <f>ROUND(B22*C22*E22,0)</f>
        <v>0</v>
      </c>
      <c r="G22" s="1293"/>
      <c r="H22" s="867"/>
    </row>
    <row r="23" spans="1:8" ht="24" x14ac:dyDescent="0.2">
      <c r="A23" s="899" t="s">
        <v>126</v>
      </c>
      <c r="B23" s="562">
        <v>0</v>
      </c>
      <c r="C23" s="874">
        <v>0</v>
      </c>
      <c r="D23" s="874">
        <v>0</v>
      </c>
      <c r="E23" s="561">
        <v>0</v>
      </c>
      <c r="F23" s="1293">
        <f>ROUND(B23*C23*D23*E23,0)</f>
        <v>0</v>
      </c>
      <c r="G23" s="1293"/>
      <c r="H23" s="867"/>
    </row>
    <row r="24" spans="1:8" ht="24" x14ac:dyDescent="0.2">
      <c r="A24" s="898" t="s">
        <v>128</v>
      </c>
      <c r="B24" s="562">
        <v>0</v>
      </c>
      <c r="C24" s="874">
        <v>0</v>
      </c>
      <c r="D24" s="874">
        <v>0</v>
      </c>
      <c r="E24" s="561">
        <v>0</v>
      </c>
      <c r="F24" s="1293">
        <f>ROUND(B24*C24*D24*E24,0)</f>
        <v>0</v>
      </c>
      <c r="G24" s="1293"/>
      <c r="H24" s="867"/>
    </row>
    <row r="25" spans="1:8" ht="24" x14ac:dyDescent="0.2">
      <c r="A25" s="899" t="s">
        <v>130</v>
      </c>
      <c r="B25" s="562">
        <v>0</v>
      </c>
      <c r="C25" s="874">
        <v>0</v>
      </c>
      <c r="D25" s="874">
        <v>0</v>
      </c>
      <c r="E25" s="561">
        <v>0</v>
      </c>
      <c r="F25" s="1293">
        <f>ROUND(B25*C25*D25*E25,0)</f>
        <v>0</v>
      </c>
      <c r="G25" s="1293"/>
      <c r="H25" s="867"/>
    </row>
    <row r="26" spans="1:8" ht="24" x14ac:dyDescent="0.2">
      <c r="A26" s="899" t="s">
        <v>131</v>
      </c>
      <c r="B26" s="876">
        <v>0</v>
      </c>
      <c r="C26" s="874">
        <v>0</v>
      </c>
      <c r="D26" s="875"/>
      <c r="E26" s="561">
        <v>0</v>
      </c>
      <c r="F26" s="1293">
        <f>ROUND(B26*C26*E26,0)</f>
        <v>0</v>
      </c>
      <c r="G26" s="1293"/>
      <c r="H26" s="904"/>
    </row>
    <row r="27" spans="1:8" ht="23.25" customHeight="1" x14ac:dyDescent="0.2">
      <c r="A27" s="899" t="s">
        <v>132</v>
      </c>
      <c r="B27" s="562">
        <v>0</v>
      </c>
      <c r="C27" s="874">
        <v>0</v>
      </c>
      <c r="D27" s="874">
        <v>0</v>
      </c>
      <c r="E27" s="561">
        <v>0</v>
      </c>
      <c r="F27" s="1293">
        <f>ROUND(B27*C27*D27*E27,0)</f>
        <v>0</v>
      </c>
      <c r="G27" s="1293"/>
      <c r="H27" s="534"/>
    </row>
    <row r="28" spans="1:8" ht="26.25" customHeight="1" x14ac:dyDescent="0.2">
      <c r="A28" s="902" t="s">
        <v>559</v>
      </c>
      <c r="B28" s="1248" t="s">
        <v>558</v>
      </c>
      <c r="C28" s="1249"/>
      <c r="D28" s="1249"/>
      <c r="E28" s="1249"/>
      <c r="F28" s="1249"/>
      <c r="G28" s="1250"/>
      <c r="H28" s="534"/>
    </row>
    <row r="29" spans="1:8" x14ac:dyDescent="0.2">
      <c r="A29" s="1283"/>
      <c r="B29" s="1284"/>
      <c r="C29" s="1284"/>
      <c r="D29" s="1284"/>
      <c r="E29" s="1284"/>
      <c r="F29" s="1284"/>
      <c r="G29" s="1285"/>
      <c r="H29" s="534"/>
    </row>
    <row r="30" spans="1:8" x14ac:dyDescent="0.2">
      <c r="A30" s="886" t="s">
        <v>148</v>
      </c>
      <c r="B30" s="1171" t="s">
        <v>384</v>
      </c>
      <c r="C30" s="1171"/>
      <c r="D30" s="1171"/>
      <c r="E30" s="1171"/>
      <c r="F30" s="1171"/>
      <c r="G30" s="913">
        <f>SUM(F31:F39)</f>
        <v>0</v>
      </c>
      <c r="H30" s="534"/>
    </row>
    <row r="31" spans="1:8" x14ac:dyDescent="0.2">
      <c r="A31" s="877" t="s">
        <v>150</v>
      </c>
      <c r="B31" s="563" t="s">
        <v>118</v>
      </c>
      <c r="C31" s="872" t="s">
        <v>119</v>
      </c>
      <c r="D31" s="872" t="s">
        <v>120</v>
      </c>
      <c r="E31" s="873" t="s">
        <v>121</v>
      </c>
      <c r="F31" s="637"/>
      <c r="G31" s="914"/>
      <c r="H31" s="534"/>
    </row>
    <row r="32" spans="1:8" ht="24" x14ac:dyDescent="0.2">
      <c r="A32" s="889" t="s">
        <v>122</v>
      </c>
      <c r="B32" s="890">
        <v>0</v>
      </c>
      <c r="C32" s="891">
        <v>0</v>
      </c>
      <c r="D32" s="892"/>
      <c r="E32" s="893">
        <v>0</v>
      </c>
      <c r="F32" s="1293">
        <f>ROUND(B32*C32*E32,0)</f>
        <v>0</v>
      </c>
      <c r="G32" s="1293"/>
      <c r="H32" s="534"/>
    </row>
    <row r="33" spans="1:8" ht="24" x14ac:dyDescent="0.2">
      <c r="A33" s="889" t="s">
        <v>124</v>
      </c>
      <c r="B33" s="890">
        <v>0</v>
      </c>
      <c r="C33" s="891">
        <v>0</v>
      </c>
      <c r="D33" s="892"/>
      <c r="E33" s="891">
        <v>0</v>
      </c>
      <c r="F33" s="1293">
        <f>ROUND(B33*C33*D33*E33,0)</f>
        <v>0</v>
      </c>
      <c r="G33" s="1293"/>
      <c r="H33" s="534"/>
    </row>
    <row r="34" spans="1:8" ht="24" x14ac:dyDescent="0.2">
      <c r="A34" s="889" t="s">
        <v>126</v>
      </c>
      <c r="B34" s="890">
        <v>0</v>
      </c>
      <c r="C34" s="891">
        <v>0</v>
      </c>
      <c r="D34" s="891">
        <v>0</v>
      </c>
      <c r="E34" s="891">
        <v>0</v>
      </c>
      <c r="F34" s="1293">
        <f>ROUND(B34*C34*D34*E34,0)</f>
        <v>0</v>
      </c>
      <c r="G34" s="1293"/>
      <c r="H34" s="534"/>
    </row>
    <row r="35" spans="1:8" ht="24" x14ac:dyDescent="0.2">
      <c r="A35" s="894" t="s">
        <v>128</v>
      </c>
      <c r="B35" s="890">
        <v>0</v>
      </c>
      <c r="C35" s="895">
        <v>0</v>
      </c>
      <c r="D35" s="891">
        <v>0</v>
      </c>
      <c r="E35" s="891">
        <v>0</v>
      </c>
      <c r="F35" s="1293">
        <f>ROUND(B35*C35*D35*E35,0)</f>
        <v>0</v>
      </c>
      <c r="G35" s="1293"/>
      <c r="H35" s="534"/>
    </row>
    <row r="36" spans="1:8" ht="24" x14ac:dyDescent="0.2">
      <c r="A36" s="900" t="s">
        <v>151</v>
      </c>
      <c r="B36" s="896">
        <v>0</v>
      </c>
      <c r="C36" s="895">
        <v>0</v>
      </c>
      <c r="D36" s="891">
        <v>0</v>
      </c>
      <c r="E36" s="892"/>
      <c r="F36" s="1293">
        <f>ROUND(B36*C36*D36*E36,0)</f>
        <v>0</v>
      </c>
      <c r="G36" s="1293"/>
      <c r="H36" s="534"/>
    </row>
    <row r="37" spans="1:8" ht="24" x14ac:dyDescent="0.2">
      <c r="A37" s="889" t="s">
        <v>131</v>
      </c>
      <c r="B37" s="897">
        <v>0</v>
      </c>
      <c r="C37" s="895">
        <v>0</v>
      </c>
      <c r="D37" s="892"/>
      <c r="E37" s="891">
        <v>0</v>
      </c>
      <c r="F37" s="1293">
        <f>ROUND(B37*C37*D37*E37,0)</f>
        <v>0</v>
      </c>
      <c r="G37" s="1293"/>
      <c r="H37" s="534"/>
    </row>
    <row r="38" spans="1:8" ht="24" x14ac:dyDescent="0.2">
      <c r="A38" s="889" t="s">
        <v>132</v>
      </c>
      <c r="B38" s="890">
        <v>0</v>
      </c>
      <c r="C38" s="891">
        <v>0</v>
      </c>
      <c r="D38" s="891">
        <v>0</v>
      </c>
      <c r="E38" s="891">
        <v>0</v>
      </c>
      <c r="F38" s="1293">
        <f>ROUND(B38*C38*D38*E38,0)</f>
        <v>0</v>
      </c>
      <c r="G38" s="1293"/>
      <c r="H38" s="534"/>
    </row>
    <row r="39" spans="1:8" ht="28.5" customHeight="1" x14ac:dyDescent="0.2">
      <c r="A39" s="903" t="s">
        <v>559</v>
      </c>
      <c r="B39" s="1248" t="s">
        <v>558</v>
      </c>
      <c r="C39" s="1249"/>
      <c r="D39" s="1249"/>
      <c r="E39" s="1249"/>
      <c r="F39" s="1249"/>
      <c r="G39" s="1250"/>
      <c r="H39" s="534"/>
    </row>
    <row r="40" spans="1:8" x14ac:dyDescent="0.2">
      <c r="A40" s="860"/>
      <c r="B40" s="861"/>
      <c r="C40" s="861"/>
      <c r="D40" s="861"/>
      <c r="E40" s="862"/>
      <c r="F40" s="862"/>
      <c r="G40" s="915"/>
      <c r="H40" s="534"/>
    </row>
    <row r="41" spans="1:8" x14ac:dyDescent="0.2">
      <c r="A41" s="1291" t="s">
        <v>565</v>
      </c>
      <c r="B41" s="1292"/>
      <c r="C41" s="1292"/>
      <c r="D41" s="1292"/>
      <c r="E41" s="1292"/>
      <c r="F41" s="1292"/>
      <c r="G41" s="922">
        <f>SUM(G43:G45)</f>
        <v>0</v>
      </c>
    </row>
    <row r="42" spans="1:8" ht="24.75" customHeight="1" x14ac:dyDescent="0.2">
      <c r="A42" s="1315" t="s">
        <v>158</v>
      </c>
      <c r="B42" s="1316"/>
      <c r="C42" s="1316"/>
      <c r="D42" s="1316"/>
      <c r="E42" s="1316"/>
      <c r="F42" s="1316"/>
      <c r="G42" s="1317"/>
    </row>
    <row r="43" spans="1:8" ht="24" customHeight="1" x14ac:dyDescent="0.2">
      <c r="A43" s="1246" t="s">
        <v>483</v>
      </c>
      <c r="B43" s="1247"/>
      <c r="C43" s="1247"/>
      <c r="D43" s="1247"/>
      <c r="E43" s="1247"/>
      <c r="F43" s="1288"/>
      <c r="G43" s="880">
        <v>0</v>
      </c>
    </row>
    <row r="44" spans="1:8" ht="24" customHeight="1" x14ac:dyDescent="0.2">
      <c r="A44" s="1246" t="s">
        <v>484</v>
      </c>
      <c r="B44" s="1247"/>
      <c r="C44" s="1247"/>
      <c r="D44" s="1247"/>
      <c r="E44" s="1247"/>
      <c r="F44" s="1288"/>
      <c r="G44" s="880">
        <v>0</v>
      </c>
    </row>
    <row r="45" spans="1:8" ht="24" customHeight="1" x14ac:dyDescent="0.2">
      <c r="A45" s="1246" t="s">
        <v>485</v>
      </c>
      <c r="B45" s="1247"/>
      <c r="C45" s="1247"/>
      <c r="D45" s="1247"/>
      <c r="E45" s="1247"/>
      <c r="F45" s="1288"/>
      <c r="G45" s="880">
        <v>0</v>
      </c>
    </row>
    <row r="46" spans="1:8" ht="40.5" customHeight="1" x14ac:dyDescent="0.2">
      <c r="A46" s="1248" t="s">
        <v>564</v>
      </c>
      <c r="B46" s="1249"/>
      <c r="C46" s="1249"/>
      <c r="D46" s="1249"/>
      <c r="E46" s="1249"/>
      <c r="F46" s="1249"/>
      <c r="G46" s="1250"/>
    </row>
    <row r="47" spans="1:8" x14ac:dyDescent="0.2">
      <c r="A47" s="1291" t="s">
        <v>569</v>
      </c>
      <c r="B47" s="1292"/>
      <c r="C47" s="1292"/>
      <c r="D47" s="1292"/>
      <c r="E47" s="1292"/>
      <c r="F47" s="1292"/>
      <c r="G47" s="925">
        <f>SUM(G49:G50)</f>
        <v>0</v>
      </c>
    </row>
    <row r="48" spans="1:8" ht="27" customHeight="1" x14ac:dyDescent="0.2">
      <c r="A48" s="1289" t="s">
        <v>163</v>
      </c>
      <c r="B48" s="1289"/>
      <c r="C48" s="1289"/>
      <c r="D48" s="1289"/>
      <c r="E48" s="1289"/>
      <c r="F48" s="1289"/>
      <c r="G48" s="1289"/>
      <c r="H48" s="534"/>
    </row>
    <row r="49" spans="1:9" x14ac:dyDescent="0.2">
      <c r="A49" s="1290" t="s">
        <v>164</v>
      </c>
      <c r="B49" s="1290"/>
      <c r="C49" s="1290"/>
      <c r="D49" s="1290"/>
      <c r="E49" s="1290"/>
      <c r="F49" s="1290"/>
      <c r="G49" s="887">
        <v>0</v>
      </c>
      <c r="H49" s="534"/>
    </row>
    <row r="50" spans="1:9" x14ac:dyDescent="0.2">
      <c r="A50" s="860"/>
      <c r="B50" s="861"/>
      <c r="C50" s="861"/>
      <c r="D50" s="861"/>
      <c r="E50" s="862"/>
      <c r="F50" s="862"/>
      <c r="G50" s="915"/>
      <c r="H50" s="550"/>
    </row>
    <row r="51" spans="1:9" x14ac:dyDescent="0.2">
      <c r="A51" s="1291" t="s">
        <v>568</v>
      </c>
      <c r="B51" s="1292"/>
      <c r="C51" s="1292"/>
      <c r="D51" s="1292"/>
      <c r="E51" s="1292"/>
      <c r="F51" s="1292"/>
      <c r="G51" s="924">
        <f>ROUND(SUM(G52:G62),0)</f>
        <v>0</v>
      </c>
      <c r="H51" s="694">
        <v>2320208</v>
      </c>
      <c r="I51" s="695"/>
    </row>
    <row r="52" spans="1:9" ht="12.75" customHeight="1" x14ac:dyDescent="0.2">
      <c r="A52" s="888" t="s">
        <v>167</v>
      </c>
      <c r="B52" s="1286" t="s">
        <v>572</v>
      </c>
      <c r="C52" s="1287"/>
      <c r="D52" s="1287"/>
      <c r="E52" s="1287"/>
      <c r="F52" s="869" t="s">
        <v>384</v>
      </c>
      <c r="G52" s="916">
        <f>D60</f>
        <v>0</v>
      </c>
      <c r="H52" s="30" t="s">
        <v>471</v>
      </c>
      <c r="I52" s="694"/>
    </row>
    <row r="53" spans="1:9" ht="21.75" customHeight="1" x14ac:dyDescent="0.2">
      <c r="A53" s="878" t="s">
        <v>170</v>
      </c>
      <c r="B53" s="1288" t="s">
        <v>566</v>
      </c>
      <c r="C53" s="1290"/>
      <c r="D53" s="1290"/>
      <c r="E53" s="1290"/>
      <c r="F53" s="1290"/>
      <c r="G53" s="1290"/>
      <c r="H53" s="696"/>
      <c r="I53" s="694"/>
    </row>
    <row r="54" spans="1:9" x14ac:dyDescent="0.2">
      <c r="A54" s="878" t="s">
        <v>172</v>
      </c>
      <c r="B54" s="1298" t="s">
        <v>362</v>
      </c>
      <c r="C54" s="1299"/>
      <c r="D54" s="1299"/>
      <c r="E54" s="1299"/>
      <c r="F54" s="1299"/>
      <c r="G54" s="1299"/>
      <c r="H54" s="696"/>
      <c r="I54" s="694"/>
    </row>
    <row r="55" spans="1:9" s="705" customFormat="1" ht="48.75" customHeight="1" x14ac:dyDescent="0.2">
      <c r="A55" s="859" t="s">
        <v>174</v>
      </c>
      <c r="B55" s="1300" t="s">
        <v>567</v>
      </c>
      <c r="C55" s="1301"/>
      <c r="D55" s="1301"/>
      <c r="E55" s="1301"/>
      <c r="F55" s="1301"/>
      <c r="G55" s="1301"/>
      <c r="H55" s="703"/>
      <c r="I55" s="704"/>
    </row>
    <row r="56" spans="1:9" ht="11.25" customHeight="1" x14ac:dyDescent="0.2">
      <c r="A56" s="858" t="s">
        <v>176</v>
      </c>
      <c r="B56" s="1290" t="s">
        <v>185</v>
      </c>
      <c r="C56" s="1290"/>
      <c r="D56" s="1290"/>
      <c r="E56" s="1290"/>
      <c r="F56" s="1290"/>
      <c r="G56" s="1290"/>
      <c r="H56" s="534"/>
    </row>
    <row r="57" spans="1:9" x14ac:dyDescent="0.2">
      <c r="A57" s="706" t="s">
        <v>365</v>
      </c>
      <c r="B57" s="707"/>
      <c r="C57" s="707"/>
      <c r="D57" s="707"/>
      <c r="E57" s="708"/>
      <c r="F57" s="708"/>
      <c r="G57" s="917"/>
      <c r="H57" s="534"/>
    </row>
    <row r="58" spans="1:9" x14ac:dyDescent="0.2">
      <c r="A58" s="710" t="s">
        <v>245</v>
      </c>
      <c r="B58" s="534"/>
      <c r="C58" s="711"/>
      <c r="D58" s="688">
        <v>0</v>
      </c>
      <c r="E58" s="534"/>
      <c r="G58" s="918"/>
      <c r="H58" s="713"/>
    </row>
    <row r="59" spans="1:9" x14ac:dyDescent="0.2">
      <c r="A59" s="710" t="s">
        <v>206</v>
      </c>
      <c r="B59" s="534"/>
      <c r="C59" s="711"/>
      <c r="D59" s="688">
        <v>0</v>
      </c>
      <c r="E59" s="534"/>
      <c r="G59" s="918"/>
      <c r="H59" s="713"/>
    </row>
    <row r="60" spans="1:9" ht="12.75" thickBot="1" x14ac:dyDescent="0.25">
      <c r="A60" s="1152" t="s">
        <v>384</v>
      </c>
      <c r="B60" s="1153"/>
      <c r="C60" s="1153"/>
      <c r="D60" s="481">
        <f>SUBTOTAL(9,D58:D59)</f>
        <v>0</v>
      </c>
      <c r="E60" s="708"/>
      <c r="G60" s="918"/>
      <c r="H60" s="534"/>
    </row>
    <row r="61" spans="1:9" ht="38.25" customHeight="1" thickTop="1" x14ac:dyDescent="0.2">
      <c r="A61" s="923" t="s">
        <v>367</v>
      </c>
      <c r="B61" s="1296" t="s">
        <v>442</v>
      </c>
      <c r="C61" s="1296"/>
      <c r="D61" s="1296"/>
      <c r="E61" s="1297"/>
      <c r="F61" s="1297"/>
      <c r="G61" s="1297"/>
      <c r="H61" s="534"/>
    </row>
    <row r="62" spans="1:9" x14ac:dyDescent="0.2">
      <c r="A62" s="1302"/>
      <c r="B62" s="1302"/>
      <c r="C62" s="1302"/>
      <c r="D62" s="1302"/>
      <c r="E62" s="1302"/>
      <c r="F62" s="1302"/>
      <c r="G62" s="1302"/>
      <c r="H62" s="550" t="s">
        <v>470</v>
      </c>
    </row>
    <row r="63" spans="1:9" x14ac:dyDescent="0.2">
      <c r="A63" s="1291" t="s">
        <v>571</v>
      </c>
      <c r="B63" s="1292"/>
      <c r="C63" s="1292"/>
      <c r="D63" s="1292"/>
      <c r="E63" s="1292"/>
      <c r="F63" s="1292"/>
      <c r="G63" s="919">
        <f>ROUND(SUM(G65:G66),0)</f>
        <v>0</v>
      </c>
      <c r="H63" s="550"/>
    </row>
    <row r="64" spans="1:9" x14ac:dyDescent="0.2">
      <c r="A64" s="1306" t="s">
        <v>269</v>
      </c>
      <c r="B64" s="1306"/>
      <c r="C64" s="1306"/>
      <c r="D64" s="1306"/>
      <c r="E64" s="1306"/>
      <c r="F64" s="1306"/>
      <c r="G64" s="1306"/>
    </row>
    <row r="65" spans="1:8" ht="15" customHeight="1" x14ac:dyDescent="0.2">
      <c r="A65" s="1246" t="s">
        <v>570</v>
      </c>
      <c r="B65" s="1247"/>
      <c r="C65" s="1247"/>
      <c r="D65" s="1247"/>
      <c r="E65" s="1247"/>
      <c r="F65" s="1288"/>
      <c r="G65" s="926">
        <v>0</v>
      </c>
    </row>
    <row r="66" spans="1:8" x14ac:dyDescent="0.2">
      <c r="A66" s="1302"/>
      <c r="B66" s="1302"/>
      <c r="C66" s="1302"/>
      <c r="D66" s="1302"/>
      <c r="E66" s="1302"/>
      <c r="F66" s="1302"/>
      <c r="G66" s="1302"/>
      <c r="H66" s="550"/>
    </row>
    <row r="67" spans="1:8" x14ac:dyDescent="0.2">
      <c r="A67" s="1291" t="s">
        <v>575</v>
      </c>
      <c r="B67" s="1292"/>
      <c r="C67" s="1292"/>
      <c r="D67" s="1292"/>
      <c r="E67" s="1292"/>
      <c r="F67" s="1292"/>
      <c r="G67" s="919">
        <f>ROUND(SUM(G70:G79),0)</f>
        <v>0</v>
      </c>
      <c r="H67" s="550"/>
    </row>
    <row r="68" spans="1:8" ht="39" customHeight="1" x14ac:dyDescent="0.2">
      <c r="A68" s="1306" t="s">
        <v>292</v>
      </c>
      <c r="B68" s="1306"/>
      <c r="C68" s="1306"/>
      <c r="D68" s="1306"/>
      <c r="E68" s="1306"/>
      <c r="F68" s="1306"/>
      <c r="G68" s="1306"/>
    </row>
    <row r="69" spans="1:8" ht="15" customHeight="1" x14ac:dyDescent="0.2">
      <c r="A69" s="1307"/>
      <c r="B69" s="1307"/>
      <c r="C69" s="1307"/>
      <c r="D69" s="1307"/>
      <c r="E69" s="1307"/>
      <c r="F69" s="1308"/>
      <c r="G69" s="920"/>
    </row>
    <row r="70" spans="1:8" ht="15" customHeight="1" x14ac:dyDescent="0.2">
      <c r="A70" s="1303" t="s">
        <v>472</v>
      </c>
      <c r="B70" s="1304"/>
      <c r="C70" s="1304"/>
      <c r="D70" s="1304"/>
      <c r="E70" s="1304"/>
      <c r="F70" s="1305"/>
      <c r="G70" s="884">
        <v>0</v>
      </c>
    </row>
    <row r="71" spans="1:8" ht="15" customHeight="1" x14ac:dyDescent="0.2">
      <c r="A71" s="1312" t="s">
        <v>473</v>
      </c>
      <c r="B71" s="1313"/>
      <c r="C71" s="1313"/>
      <c r="D71" s="1313"/>
      <c r="E71" s="1313"/>
      <c r="F71" s="1298"/>
      <c r="G71" s="926">
        <v>0</v>
      </c>
    </row>
    <row r="72" spans="1:8" ht="15" customHeight="1" x14ac:dyDescent="0.2">
      <c r="A72" s="1303" t="s">
        <v>474</v>
      </c>
      <c r="B72" s="1304"/>
      <c r="C72" s="1304"/>
      <c r="D72" s="1304"/>
      <c r="E72" s="1304"/>
      <c r="F72" s="1305"/>
      <c r="G72" s="884">
        <v>0</v>
      </c>
    </row>
    <row r="73" spans="1:8" ht="15" customHeight="1" x14ac:dyDescent="0.2">
      <c r="A73" s="1312" t="s">
        <v>475</v>
      </c>
      <c r="B73" s="1313"/>
      <c r="C73" s="1313"/>
      <c r="D73" s="1313"/>
      <c r="E73" s="1313"/>
      <c r="F73" s="1298"/>
      <c r="G73" s="926">
        <v>0</v>
      </c>
    </row>
    <row r="74" spans="1:8" ht="15" customHeight="1" x14ac:dyDescent="0.2">
      <c r="A74" s="1303" t="s">
        <v>476</v>
      </c>
      <c r="B74" s="1304"/>
      <c r="C74" s="1304"/>
      <c r="D74" s="1304"/>
      <c r="E74" s="1304"/>
      <c r="F74" s="1305"/>
      <c r="G74" s="884">
        <v>0</v>
      </c>
    </row>
    <row r="75" spans="1:8" ht="15" customHeight="1" x14ac:dyDescent="0.2">
      <c r="A75" s="1312" t="s">
        <v>477</v>
      </c>
      <c r="B75" s="1313"/>
      <c r="C75" s="1313"/>
      <c r="D75" s="1313"/>
      <c r="E75" s="1313"/>
      <c r="F75" s="1298"/>
      <c r="G75" s="926">
        <v>0</v>
      </c>
    </row>
    <row r="76" spans="1:8" ht="15" customHeight="1" x14ac:dyDescent="0.2">
      <c r="A76" s="1303" t="s">
        <v>478</v>
      </c>
      <c r="B76" s="1304"/>
      <c r="C76" s="1304"/>
      <c r="D76" s="1304"/>
      <c r="E76" s="1304"/>
      <c r="F76" s="1305"/>
      <c r="G76" s="884">
        <v>0</v>
      </c>
    </row>
    <row r="77" spans="1:8" ht="15" customHeight="1" x14ac:dyDescent="0.2">
      <c r="A77" s="1312" t="s">
        <v>479</v>
      </c>
      <c r="B77" s="1313"/>
      <c r="C77" s="1313"/>
      <c r="D77" s="1313"/>
      <c r="E77" s="1313"/>
      <c r="F77" s="1298"/>
      <c r="G77" s="926">
        <v>0</v>
      </c>
    </row>
    <row r="78" spans="1:8" ht="15" customHeight="1" x14ac:dyDescent="0.2">
      <c r="A78" s="1303" t="s">
        <v>480</v>
      </c>
      <c r="B78" s="1304"/>
      <c r="C78" s="1304"/>
      <c r="D78" s="1304"/>
      <c r="E78" s="1304"/>
      <c r="F78" s="1305"/>
      <c r="G78" s="884">
        <v>0</v>
      </c>
    </row>
    <row r="79" spans="1:8" ht="15" customHeight="1" x14ac:dyDescent="0.2">
      <c r="A79" s="1312" t="s">
        <v>481</v>
      </c>
      <c r="B79" s="1313"/>
      <c r="C79" s="1313"/>
      <c r="D79" s="1313"/>
      <c r="E79" s="1313"/>
      <c r="F79" s="1298"/>
      <c r="G79" s="926">
        <v>0</v>
      </c>
    </row>
    <row r="80" spans="1:8" x14ac:dyDescent="0.2">
      <c r="A80" s="1310"/>
      <c r="B80" s="1310"/>
      <c r="C80" s="1310"/>
      <c r="D80" s="1310"/>
      <c r="E80" s="1310"/>
      <c r="F80" s="1310"/>
      <c r="G80" s="1310"/>
    </row>
    <row r="81" spans="1:11" ht="23.25" customHeight="1" x14ac:dyDescent="0.2">
      <c r="A81" s="1294" t="s">
        <v>314</v>
      </c>
      <c r="B81" s="1295"/>
      <c r="C81" s="1295"/>
      <c r="D81" s="1295"/>
      <c r="E81" s="1295"/>
      <c r="F81" s="1295"/>
      <c r="G81" s="1345">
        <f>SUM(G3,G18,G41,G47,G51,G63,G67)</f>
        <v>0</v>
      </c>
      <c r="H81" s="530"/>
    </row>
    <row r="82" spans="1:11" ht="11.25" customHeight="1" x14ac:dyDescent="0.2">
      <c r="A82" s="1136" t="s">
        <v>467</v>
      </c>
      <c r="B82" s="1137"/>
      <c r="C82" s="1137"/>
      <c r="D82" s="1137"/>
      <c r="E82" s="1137"/>
      <c r="F82" s="928" t="s">
        <v>317</v>
      </c>
      <c r="G82" s="921">
        <v>0.1</v>
      </c>
    </row>
    <row r="83" spans="1:11" ht="13.5" customHeight="1" x14ac:dyDescent="0.2">
      <c r="A83" s="1273" t="s">
        <v>319</v>
      </c>
      <c r="B83" s="1274"/>
      <c r="C83" s="1274"/>
      <c r="D83" s="1274"/>
      <c r="E83" s="1274"/>
      <c r="F83" s="1274"/>
      <c r="G83" s="856">
        <f>ROUND((G81-G47-G51)*G82,0)</f>
        <v>0</v>
      </c>
    </row>
    <row r="84" spans="1:11" ht="12" customHeight="1" thickBot="1" x14ac:dyDescent="0.25">
      <c r="A84" s="1311" t="s">
        <v>576</v>
      </c>
      <c r="B84" s="1311"/>
      <c r="C84" s="1311"/>
      <c r="D84" s="1311"/>
      <c r="E84" s="1311"/>
      <c r="F84" s="1311"/>
      <c r="G84" s="538">
        <f>ROUND(SUM(G83+G81),0)</f>
        <v>0</v>
      </c>
    </row>
    <row r="85" spans="1:11" ht="12.75" thickTop="1" x14ac:dyDescent="0.2">
      <c r="A85" s="534"/>
      <c r="B85" s="534"/>
      <c r="C85" s="534"/>
      <c r="D85" s="534"/>
      <c r="E85" s="534"/>
      <c r="F85" s="534"/>
    </row>
    <row r="86" spans="1:11" x14ac:dyDescent="0.2">
      <c r="A86" s="534"/>
      <c r="B86" s="534"/>
      <c r="C86" s="534"/>
      <c r="D86" s="534"/>
      <c r="E86" s="534"/>
      <c r="F86" s="534"/>
    </row>
    <row r="87" spans="1:11" x14ac:dyDescent="0.2">
      <c r="A87" s="534"/>
      <c r="B87" s="534"/>
      <c r="C87" s="534"/>
      <c r="D87" s="534"/>
      <c r="E87" s="534"/>
      <c r="F87" s="534"/>
      <c r="G87" s="529"/>
      <c r="K87" s="536"/>
    </row>
    <row r="88" spans="1:11" x14ac:dyDescent="0.2">
      <c r="A88" s="534"/>
      <c r="B88" s="534"/>
      <c r="C88" s="534"/>
      <c r="D88" s="534"/>
      <c r="G88" s="529"/>
    </row>
    <row r="89" spans="1:11" x14ac:dyDescent="0.2">
      <c r="A89" s="541"/>
      <c r="B89" s="534"/>
      <c r="C89" s="534"/>
      <c r="D89" s="534"/>
      <c r="G89" s="529"/>
    </row>
    <row r="90" spans="1:11" x14ac:dyDescent="0.2">
      <c r="A90" s="759"/>
      <c r="G90" s="531"/>
    </row>
    <row r="91" spans="1:11" x14ac:dyDescent="0.2">
      <c r="A91" s="549"/>
      <c r="C91" s="546"/>
      <c r="D91" s="905"/>
      <c r="E91" s="906"/>
      <c r="G91" s="529"/>
    </row>
    <row r="92" spans="1:11" x14ac:dyDescent="0.2">
      <c r="C92" s="546"/>
      <c r="D92" s="905"/>
      <c r="E92" s="906"/>
      <c r="G92" s="529"/>
      <c r="J92" s="1243"/>
      <c r="K92" s="1243"/>
    </row>
    <row r="93" spans="1:11" x14ac:dyDescent="0.2">
      <c r="C93" s="546"/>
      <c r="D93" s="905"/>
      <c r="E93" s="906"/>
      <c r="G93" s="529"/>
      <c r="J93" s="543"/>
      <c r="K93" s="866"/>
    </row>
    <row r="94" spans="1:11" x14ac:dyDescent="0.2">
      <c r="C94" s="546"/>
      <c r="D94" s="905"/>
      <c r="E94" s="906"/>
      <c r="G94" s="534"/>
      <c r="J94" s="543"/>
      <c r="K94" s="907"/>
    </row>
    <row r="95" spans="1:11" x14ac:dyDescent="0.2">
      <c r="B95" s="759"/>
      <c r="C95" s="546"/>
      <c r="D95" s="905"/>
      <c r="E95" s="906"/>
      <c r="G95" s="534"/>
      <c r="J95" s="543"/>
      <c r="K95" s="546"/>
    </row>
    <row r="96" spans="1:11" x14ac:dyDescent="0.2">
      <c r="C96" s="546"/>
      <c r="D96" s="905"/>
      <c r="E96" s="906"/>
      <c r="G96" s="529"/>
      <c r="J96" s="543"/>
      <c r="K96" s="866"/>
    </row>
    <row r="97" spans="3:11" x14ac:dyDescent="0.2">
      <c r="C97" s="546"/>
      <c r="D97" s="905"/>
      <c r="E97" s="906"/>
      <c r="G97" s="529"/>
      <c r="J97" s="543"/>
      <c r="K97" s="907"/>
    </row>
    <row r="98" spans="3:11" x14ac:dyDescent="0.2">
      <c r="C98" s="546"/>
      <c r="D98" s="905"/>
      <c r="E98" s="906"/>
      <c r="G98" s="529"/>
      <c r="J98" s="543"/>
      <c r="K98" s="546"/>
    </row>
    <row r="99" spans="3:11" x14ac:dyDescent="0.2">
      <c r="C99" s="546"/>
      <c r="D99" s="905"/>
      <c r="E99" s="906"/>
      <c r="J99" s="543"/>
      <c r="K99" s="866"/>
    </row>
    <row r="100" spans="3:11" x14ac:dyDescent="0.2">
      <c r="C100" s="546"/>
      <c r="D100" s="906"/>
      <c r="J100" s="543"/>
      <c r="K100" s="907"/>
    </row>
    <row r="101" spans="3:11" x14ac:dyDescent="0.2">
      <c r="D101" s="906"/>
      <c r="J101" s="543"/>
      <c r="K101" s="866"/>
    </row>
    <row r="102" spans="3:11" x14ac:dyDescent="0.2">
      <c r="J102" s="543"/>
      <c r="K102" s="907"/>
    </row>
    <row r="103" spans="3:11" x14ac:dyDescent="0.2">
      <c r="J103" s="543"/>
      <c r="K103" s="546"/>
    </row>
    <row r="104" spans="3:11" x14ac:dyDescent="0.2">
      <c r="J104" s="543"/>
      <c r="K104" s="866"/>
    </row>
    <row r="105" spans="3:11" x14ac:dyDescent="0.2">
      <c r="I105" s="908"/>
      <c r="J105" s="543"/>
      <c r="K105" s="907"/>
    </row>
    <row r="106" spans="3:11" x14ac:dyDescent="0.2">
      <c r="J106" s="543"/>
      <c r="K106" s="546"/>
    </row>
    <row r="107" spans="3:11" x14ac:dyDescent="0.2">
      <c r="J107" s="543"/>
      <c r="K107" s="867"/>
    </row>
    <row r="108" spans="3:11" x14ac:dyDescent="0.2">
      <c r="J108" s="543"/>
      <c r="K108" s="549"/>
    </row>
    <row r="109" spans="3:11" x14ac:dyDescent="0.2">
      <c r="J109" s="539"/>
    </row>
    <row r="110" spans="3:11" x14ac:dyDescent="0.2">
      <c r="J110" s="543"/>
      <c r="K110" s="549"/>
    </row>
    <row r="111" spans="3:11" x14ac:dyDescent="0.2">
      <c r="J111" s="543"/>
      <c r="K111" s="549"/>
    </row>
    <row r="112" spans="3:11" x14ac:dyDescent="0.2">
      <c r="C112" s="536"/>
      <c r="D112" s="536"/>
      <c r="F112" s="536"/>
      <c r="G112" s="883"/>
    </row>
    <row r="113" spans="3:6" x14ac:dyDescent="0.2">
      <c r="C113" s="546"/>
      <c r="D113" s="882"/>
      <c r="F113" s="909"/>
    </row>
    <row r="114" spans="3:6" x14ac:dyDescent="0.2">
      <c r="C114" s="546"/>
      <c r="D114" s="882"/>
      <c r="F114" s="909"/>
    </row>
    <row r="115" spans="3:6" x14ac:dyDescent="0.2">
      <c r="C115" s="546"/>
      <c r="D115" s="882"/>
      <c r="F115" s="909"/>
    </row>
    <row r="116" spans="3:6" x14ac:dyDescent="0.2">
      <c r="C116" s="546"/>
      <c r="D116" s="882"/>
      <c r="F116" s="909"/>
    </row>
    <row r="117" spans="3:6" x14ac:dyDescent="0.2">
      <c r="C117" s="546"/>
      <c r="D117" s="882"/>
      <c r="F117" s="909"/>
    </row>
    <row r="118" spans="3:6" x14ac:dyDescent="0.2">
      <c r="C118" s="546"/>
      <c r="D118" s="882"/>
      <c r="F118" s="909"/>
    </row>
    <row r="119" spans="3:6" x14ac:dyDescent="0.2">
      <c r="C119" s="546"/>
      <c r="D119" s="882"/>
      <c r="F119" s="909"/>
    </row>
    <row r="120" spans="3:6" x14ac:dyDescent="0.2">
      <c r="C120" s="546"/>
      <c r="D120" s="882"/>
      <c r="F120" s="909"/>
    </row>
    <row r="121" spans="3:6" x14ac:dyDescent="0.2">
      <c r="C121" s="529"/>
      <c r="D121" s="882"/>
      <c r="F121" s="909"/>
    </row>
    <row r="122" spans="3:6" x14ac:dyDescent="0.2">
      <c r="C122" s="546"/>
      <c r="D122" s="882"/>
    </row>
    <row r="123" spans="3:6" x14ac:dyDescent="0.2">
      <c r="F123" s="534"/>
    </row>
    <row r="124" spans="3:6" x14ac:dyDescent="0.2">
      <c r="C124" s="546"/>
      <c r="D124" s="882"/>
      <c r="F124" s="534"/>
    </row>
    <row r="125" spans="3:6" x14ac:dyDescent="0.2">
      <c r="C125" s="546"/>
      <c r="D125" s="882"/>
      <c r="F125" s="534"/>
    </row>
    <row r="126" spans="3:6" x14ac:dyDescent="0.2">
      <c r="C126" s="546"/>
      <c r="D126" s="882"/>
      <c r="F126" s="534"/>
    </row>
    <row r="127" spans="3:6" x14ac:dyDescent="0.2">
      <c r="C127" s="546"/>
      <c r="D127" s="882"/>
      <c r="F127" s="534"/>
    </row>
    <row r="128" spans="3:6" x14ac:dyDescent="0.2">
      <c r="F128" s="534"/>
    </row>
    <row r="129" spans="1:13" x14ac:dyDescent="0.2">
      <c r="C129" s="546"/>
      <c r="D129" s="882"/>
      <c r="F129" s="534"/>
    </row>
    <row r="130" spans="1:13" x14ac:dyDescent="0.2">
      <c r="C130" s="546"/>
      <c r="D130" s="882"/>
      <c r="F130" s="529"/>
    </row>
    <row r="131" spans="1:13" x14ac:dyDescent="0.2">
      <c r="F131" s="529"/>
    </row>
    <row r="132" spans="1:13" x14ac:dyDescent="0.2">
      <c r="C132" s="546"/>
      <c r="D132" s="882"/>
      <c r="F132" s="478"/>
    </row>
    <row r="133" spans="1:13" x14ac:dyDescent="0.2">
      <c r="C133" s="546"/>
      <c r="D133" s="882"/>
      <c r="F133" s="868"/>
    </row>
    <row r="134" spans="1:13" x14ac:dyDescent="0.2">
      <c r="F134" s="534"/>
    </row>
    <row r="135" spans="1:13" x14ac:dyDescent="0.2">
      <c r="A135" s="534"/>
      <c r="B135" s="534"/>
      <c r="C135" s="529"/>
      <c r="D135" s="882"/>
      <c r="F135" s="534"/>
    </row>
    <row r="136" spans="1:13" x14ac:dyDescent="0.2">
      <c r="A136" s="534"/>
      <c r="B136" s="534"/>
      <c r="C136" s="529"/>
      <c r="D136" s="881"/>
      <c r="F136" s="534"/>
      <c r="G136" s="883"/>
    </row>
    <row r="137" spans="1:13" x14ac:dyDescent="0.2">
      <c r="A137" s="534"/>
      <c r="B137" s="534"/>
      <c r="C137" s="546"/>
      <c r="D137" s="882"/>
      <c r="F137" s="535"/>
    </row>
    <row r="138" spans="1:13" x14ac:dyDescent="0.2">
      <c r="A138" s="534"/>
      <c r="B138" s="534"/>
      <c r="D138" s="882"/>
      <c r="F138" s="535"/>
    </row>
    <row r="139" spans="1:13" x14ac:dyDescent="0.2">
      <c r="A139" s="534"/>
      <c r="B139" s="534"/>
      <c r="F139" s="534"/>
    </row>
    <row r="140" spans="1:13" x14ac:dyDescent="0.2">
      <c r="A140" s="534"/>
      <c r="B140" s="534"/>
      <c r="F140" s="534"/>
    </row>
    <row r="141" spans="1:13" x14ac:dyDescent="0.2">
      <c r="A141" s="534"/>
      <c r="B141" s="534"/>
      <c r="F141" s="534"/>
    </row>
    <row r="142" spans="1:13" s="539" customFormat="1" x14ac:dyDescent="0.2">
      <c r="A142" s="534"/>
      <c r="B142" s="534"/>
      <c r="C142" s="531"/>
      <c r="D142" s="531"/>
      <c r="E142" s="531"/>
      <c r="F142" s="534"/>
      <c r="G142" s="882"/>
      <c r="H142" s="531"/>
      <c r="I142" s="531"/>
      <c r="J142" s="531"/>
      <c r="K142" s="531"/>
      <c r="L142" s="531"/>
      <c r="M142" s="531"/>
    </row>
    <row r="143" spans="1:13" s="539" customFormat="1" x14ac:dyDescent="0.2">
      <c r="A143" s="531"/>
      <c r="B143" s="534"/>
      <c r="C143" s="531"/>
      <c r="D143" s="531"/>
      <c r="E143" s="531"/>
      <c r="F143" s="534"/>
      <c r="G143" s="882"/>
      <c r="H143" s="531"/>
      <c r="I143" s="531"/>
      <c r="J143" s="531"/>
      <c r="K143" s="531"/>
      <c r="L143" s="531"/>
      <c r="M143" s="531"/>
    </row>
    <row r="144" spans="1:13" s="539" customFormat="1" x14ac:dyDescent="0.2">
      <c r="A144" s="531"/>
      <c r="B144" s="534"/>
      <c r="C144" s="531"/>
      <c r="D144" s="531"/>
      <c r="E144" s="531"/>
      <c r="F144" s="534"/>
      <c r="G144" s="882"/>
      <c r="H144" s="531"/>
      <c r="I144" s="531"/>
      <c r="J144" s="531"/>
      <c r="K144" s="531"/>
      <c r="L144" s="531"/>
      <c r="M144" s="531"/>
    </row>
    <row r="145" spans="1:13" s="539" customFormat="1" x14ac:dyDescent="0.2">
      <c r="A145" s="531"/>
      <c r="B145" s="534"/>
      <c r="C145" s="531"/>
      <c r="D145" s="531"/>
      <c r="E145" s="531"/>
      <c r="F145" s="534"/>
      <c r="G145" s="882"/>
      <c r="H145" s="531"/>
      <c r="I145" s="531"/>
      <c r="J145" s="531"/>
      <c r="K145" s="531"/>
      <c r="L145" s="531"/>
      <c r="M145" s="531"/>
    </row>
    <row r="146" spans="1:13" s="539" customFormat="1" x14ac:dyDescent="0.2">
      <c r="A146" s="531"/>
      <c r="B146" s="534"/>
      <c r="C146" s="531"/>
      <c r="D146" s="531"/>
      <c r="E146" s="531"/>
      <c r="F146" s="534"/>
      <c r="G146" s="882"/>
      <c r="H146" s="531"/>
      <c r="I146" s="531"/>
      <c r="J146" s="531"/>
      <c r="K146" s="531"/>
      <c r="L146" s="531"/>
      <c r="M146" s="531"/>
    </row>
    <row r="147" spans="1:13" s="539" customFormat="1" x14ac:dyDescent="0.2">
      <c r="A147" s="531"/>
      <c r="B147" s="534"/>
      <c r="C147" s="531"/>
      <c r="D147" s="531"/>
      <c r="E147" s="531"/>
      <c r="F147" s="534"/>
      <c r="G147" s="882"/>
      <c r="H147" s="531"/>
      <c r="I147" s="531"/>
      <c r="J147" s="531"/>
      <c r="K147" s="531"/>
      <c r="L147" s="531"/>
      <c r="M147" s="531"/>
    </row>
    <row r="148" spans="1:13" s="539" customFormat="1" x14ac:dyDescent="0.2">
      <c r="A148" s="531"/>
      <c r="B148" s="534"/>
      <c r="C148" s="531"/>
      <c r="D148" s="531"/>
      <c r="E148" s="531"/>
      <c r="F148" s="534"/>
      <c r="G148" s="882"/>
      <c r="H148" s="531"/>
      <c r="I148" s="531"/>
      <c r="J148" s="531"/>
      <c r="K148" s="531"/>
      <c r="L148" s="531"/>
      <c r="M148" s="531"/>
    </row>
    <row r="149" spans="1:13" s="539" customFormat="1" x14ac:dyDescent="0.2">
      <c r="A149" s="531"/>
      <c r="B149" s="534"/>
      <c r="C149" s="531"/>
      <c r="D149" s="531"/>
      <c r="E149" s="531"/>
      <c r="F149" s="534"/>
      <c r="G149" s="882"/>
      <c r="H149" s="531"/>
      <c r="I149" s="531"/>
      <c r="J149" s="531"/>
      <c r="K149" s="531"/>
      <c r="L149" s="531"/>
      <c r="M149" s="531"/>
    </row>
    <row r="150" spans="1:13" s="539" customFormat="1" x14ac:dyDescent="0.2">
      <c r="A150" s="531"/>
      <c r="B150" s="534"/>
      <c r="C150" s="531"/>
      <c r="D150" s="531"/>
      <c r="E150" s="531"/>
      <c r="F150" s="534"/>
      <c r="G150" s="882"/>
      <c r="H150" s="531"/>
      <c r="I150" s="531"/>
      <c r="J150" s="531"/>
      <c r="K150" s="531"/>
      <c r="L150" s="531"/>
      <c r="M150" s="531"/>
    </row>
    <row r="151" spans="1:13" s="539" customFormat="1" x14ac:dyDescent="0.2">
      <c r="A151" s="531"/>
      <c r="B151" s="534"/>
      <c r="C151" s="531"/>
      <c r="D151" s="531"/>
      <c r="E151" s="531"/>
      <c r="F151" s="534"/>
      <c r="G151" s="882"/>
      <c r="H151" s="531"/>
      <c r="I151" s="531"/>
      <c r="J151" s="531"/>
      <c r="K151" s="531"/>
      <c r="L151" s="531"/>
      <c r="M151" s="531"/>
    </row>
    <row r="152" spans="1:13" s="539" customFormat="1" x14ac:dyDescent="0.2">
      <c r="A152" s="531"/>
      <c r="B152" s="532"/>
      <c r="C152" s="531"/>
      <c r="D152" s="531"/>
      <c r="E152" s="531"/>
      <c r="F152" s="534"/>
      <c r="G152" s="882"/>
      <c r="H152" s="531"/>
      <c r="I152" s="531"/>
      <c r="J152" s="531"/>
      <c r="K152" s="531"/>
      <c r="L152" s="531"/>
      <c r="M152" s="531"/>
    </row>
    <row r="153" spans="1:13" s="539" customFormat="1" x14ac:dyDescent="0.2">
      <c r="A153" s="531"/>
      <c r="B153" s="532"/>
      <c r="C153" s="531"/>
      <c r="D153" s="531"/>
      <c r="E153" s="531"/>
      <c r="F153" s="534"/>
      <c r="G153" s="882"/>
      <c r="H153" s="531"/>
      <c r="I153" s="531"/>
      <c r="J153" s="531"/>
      <c r="K153" s="531"/>
      <c r="L153" s="531"/>
      <c r="M153" s="531"/>
    </row>
    <row r="154" spans="1:13" s="539" customFormat="1" x14ac:dyDescent="0.2">
      <c r="A154" s="531"/>
      <c r="B154" s="532"/>
      <c r="C154" s="531"/>
      <c r="D154" s="531"/>
      <c r="E154" s="531"/>
      <c r="F154" s="534"/>
      <c r="G154" s="882"/>
      <c r="H154" s="531"/>
      <c r="I154" s="531"/>
      <c r="J154" s="531"/>
      <c r="K154" s="531"/>
      <c r="L154" s="531"/>
      <c r="M154" s="531"/>
    </row>
    <row r="155" spans="1:13" s="539" customFormat="1" x14ac:dyDescent="0.2">
      <c r="A155" s="531"/>
      <c r="B155" s="532"/>
      <c r="C155" s="531"/>
      <c r="D155" s="531"/>
      <c r="E155" s="531"/>
      <c r="F155" s="534"/>
      <c r="G155" s="882"/>
      <c r="H155" s="531"/>
      <c r="I155" s="531"/>
      <c r="J155" s="531"/>
      <c r="K155" s="531"/>
      <c r="L155" s="531"/>
      <c r="M155" s="531"/>
    </row>
    <row r="156" spans="1:13" s="539" customFormat="1" x14ac:dyDescent="0.2">
      <c r="A156" s="534"/>
      <c r="B156" s="532"/>
      <c r="C156" s="531"/>
      <c r="D156" s="531"/>
      <c r="E156" s="531"/>
      <c r="F156" s="534"/>
      <c r="G156" s="882"/>
      <c r="H156" s="531"/>
      <c r="I156" s="531"/>
      <c r="J156" s="531"/>
      <c r="K156" s="531"/>
      <c r="L156" s="531"/>
      <c r="M156" s="531"/>
    </row>
    <row r="157" spans="1:13" s="539" customFormat="1" x14ac:dyDescent="0.2">
      <c r="A157" s="534"/>
      <c r="B157" s="532"/>
      <c r="C157" s="531"/>
      <c r="D157" s="531"/>
      <c r="E157" s="531"/>
      <c r="F157" s="534"/>
      <c r="G157" s="882"/>
      <c r="H157" s="531"/>
      <c r="I157" s="531"/>
      <c r="J157" s="531"/>
      <c r="K157" s="531"/>
      <c r="L157" s="531"/>
      <c r="M157" s="531"/>
    </row>
    <row r="158" spans="1:13" s="539" customFormat="1" x14ac:dyDescent="0.2">
      <c r="A158" s="534"/>
      <c r="B158" s="534"/>
      <c r="C158" s="531"/>
      <c r="D158" s="531"/>
      <c r="E158" s="531"/>
      <c r="F158" s="534"/>
      <c r="G158" s="882"/>
      <c r="H158" s="531"/>
      <c r="I158" s="531"/>
      <c r="J158" s="531"/>
      <c r="K158" s="531"/>
      <c r="L158" s="531"/>
      <c r="M158" s="531"/>
    </row>
    <row r="159" spans="1:13" s="539" customFormat="1" x14ac:dyDescent="0.2">
      <c r="A159" s="534"/>
      <c r="B159" s="534"/>
      <c r="C159" s="531"/>
      <c r="D159" s="531"/>
      <c r="E159" s="531"/>
      <c r="F159" s="531"/>
      <c r="G159" s="882"/>
      <c r="H159" s="531"/>
      <c r="I159" s="531"/>
      <c r="J159" s="531"/>
      <c r="K159" s="531"/>
      <c r="L159" s="531"/>
      <c r="M159" s="531"/>
    </row>
    <row r="160" spans="1:13" s="539" customFormat="1" x14ac:dyDescent="0.2">
      <c r="A160" s="534"/>
      <c r="B160" s="534"/>
      <c r="C160" s="531"/>
      <c r="D160" s="531"/>
      <c r="E160" s="534"/>
      <c r="F160" s="531"/>
      <c r="G160" s="882"/>
      <c r="H160" s="531"/>
      <c r="I160" s="531"/>
      <c r="J160" s="531"/>
      <c r="K160" s="531"/>
      <c r="L160" s="531"/>
      <c r="M160" s="531"/>
    </row>
    <row r="161" spans="1:13" s="539" customFormat="1" x14ac:dyDescent="0.2">
      <c r="A161" s="534"/>
      <c r="B161" s="534"/>
      <c r="C161" s="531"/>
      <c r="D161" s="531"/>
      <c r="E161" s="534"/>
      <c r="F161" s="531"/>
      <c r="G161" s="882"/>
      <c r="H161" s="531"/>
      <c r="I161" s="531"/>
      <c r="J161" s="531"/>
      <c r="K161" s="531"/>
      <c r="L161" s="531"/>
      <c r="M161" s="531"/>
    </row>
    <row r="162" spans="1:13" s="539" customFormat="1" x14ac:dyDescent="0.2">
      <c r="A162" s="534"/>
      <c r="B162" s="534"/>
      <c r="C162" s="531"/>
      <c r="D162" s="531"/>
      <c r="E162" s="534"/>
      <c r="F162" s="531"/>
      <c r="G162" s="882"/>
      <c r="H162" s="531"/>
      <c r="I162" s="531"/>
      <c r="J162" s="531"/>
      <c r="K162" s="531"/>
      <c r="L162" s="531"/>
      <c r="M162" s="531"/>
    </row>
    <row r="163" spans="1:13" s="539" customFormat="1" x14ac:dyDescent="0.2">
      <c r="A163" s="534"/>
      <c r="B163" s="534"/>
      <c r="C163" s="531"/>
      <c r="D163" s="531"/>
      <c r="E163" s="534"/>
      <c r="F163" s="531"/>
      <c r="G163" s="882"/>
      <c r="H163" s="531"/>
      <c r="I163" s="531"/>
      <c r="J163" s="531"/>
      <c r="K163" s="531"/>
      <c r="L163" s="531"/>
      <c r="M163" s="531"/>
    </row>
    <row r="164" spans="1:13" s="539" customFormat="1" x14ac:dyDescent="0.2">
      <c r="A164" s="534"/>
      <c r="B164" s="534"/>
      <c r="C164" s="531"/>
      <c r="D164" s="531"/>
      <c r="E164" s="534"/>
      <c r="F164" s="531"/>
      <c r="G164" s="882"/>
      <c r="H164" s="531"/>
      <c r="I164" s="531"/>
      <c r="J164" s="531"/>
      <c r="K164" s="531"/>
      <c r="L164" s="531"/>
      <c r="M164" s="531"/>
    </row>
    <row r="165" spans="1:13" s="539" customFormat="1" x14ac:dyDescent="0.2">
      <c r="A165" s="534"/>
      <c r="B165" s="534"/>
      <c r="C165" s="531"/>
      <c r="D165" s="531"/>
      <c r="E165" s="534"/>
      <c r="F165" s="531"/>
      <c r="G165" s="882"/>
      <c r="H165" s="531"/>
      <c r="I165" s="531"/>
      <c r="J165" s="531"/>
      <c r="K165" s="531"/>
      <c r="L165" s="531"/>
      <c r="M165" s="531"/>
    </row>
    <row r="166" spans="1:13" s="539" customFormat="1" x14ac:dyDescent="0.2">
      <c r="A166" s="534"/>
      <c r="B166" s="534"/>
      <c r="C166" s="531"/>
      <c r="D166" s="531"/>
      <c r="E166" s="534"/>
      <c r="F166" s="531"/>
      <c r="G166" s="882"/>
      <c r="H166" s="531"/>
      <c r="I166" s="531"/>
      <c r="J166" s="531"/>
      <c r="K166" s="531"/>
      <c r="L166" s="531"/>
      <c r="M166" s="531"/>
    </row>
    <row r="167" spans="1:13" s="539" customFormat="1" x14ac:dyDescent="0.2">
      <c r="A167" s="534"/>
      <c r="B167" s="534"/>
      <c r="C167" s="531"/>
      <c r="D167" s="531"/>
      <c r="E167" s="531"/>
      <c r="F167" s="531"/>
      <c r="G167" s="882"/>
      <c r="H167" s="531"/>
      <c r="I167" s="531"/>
      <c r="J167" s="531"/>
      <c r="K167" s="531"/>
      <c r="L167" s="531"/>
      <c r="M167" s="531"/>
    </row>
    <row r="168" spans="1:13" s="539" customFormat="1" x14ac:dyDescent="0.2">
      <c r="A168" s="534"/>
      <c r="B168" s="534"/>
      <c r="C168" s="531"/>
      <c r="D168" s="531"/>
      <c r="E168" s="531"/>
      <c r="F168" s="531"/>
      <c r="G168" s="882"/>
      <c r="H168" s="531"/>
      <c r="I168" s="531"/>
      <c r="J168" s="531"/>
      <c r="K168" s="531"/>
      <c r="L168" s="531"/>
      <c r="M168" s="531"/>
    </row>
    <row r="169" spans="1:13" s="539" customFormat="1" x14ac:dyDescent="0.2">
      <c r="A169" s="534"/>
      <c r="B169" s="534"/>
      <c r="C169" s="531"/>
      <c r="D169" s="531"/>
      <c r="E169" s="531"/>
      <c r="F169" s="531"/>
      <c r="G169" s="753"/>
      <c r="H169" s="531"/>
      <c r="I169" s="531"/>
      <c r="J169" s="531"/>
      <c r="K169" s="531"/>
      <c r="L169" s="531"/>
      <c r="M169" s="531"/>
    </row>
    <row r="170" spans="1:13" s="539" customFormat="1" x14ac:dyDescent="0.2">
      <c r="A170" s="534"/>
      <c r="B170" s="534"/>
      <c r="C170" s="531"/>
      <c r="D170" s="531"/>
      <c r="E170" s="531"/>
      <c r="F170" s="531"/>
      <c r="G170" s="753"/>
      <c r="H170" s="531"/>
      <c r="I170" s="531"/>
      <c r="J170" s="531"/>
      <c r="K170" s="531"/>
      <c r="L170" s="531"/>
      <c r="M170" s="531"/>
    </row>
    <row r="171" spans="1:13" s="539" customFormat="1" x14ac:dyDescent="0.2">
      <c r="A171" s="534"/>
      <c r="B171" s="534"/>
      <c r="C171" s="531"/>
      <c r="D171" s="531"/>
      <c r="E171" s="531"/>
      <c r="F171" s="531"/>
      <c r="G171" s="881"/>
      <c r="H171" s="531"/>
      <c r="I171" s="531"/>
      <c r="J171" s="531"/>
      <c r="K171" s="531"/>
      <c r="L171" s="531"/>
      <c r="M171" s="531"/>
    </row>
    <row r="172" spans="1:13" s="539" customFormat="1" x14ac:dyDescent="0.2">
      <c r="A172" s="534"/>
      <c r="B172" s="534"/>
      <c r="C172" s="531"/>
      <c r="D172" s="531"/>
      <c r="E172" s="531"/>
      <c r="F172" s="531"/>
      <c r="G172" s="881"/>
      <c r="H172" s="531"/>
      <c r="I172" s="531"/>
      <c r="J172" s="531"/>
      <c r="K172" s="531"/>
      <c r="L172" s="531"/>
      <c r="M172" s="531"/>
    </row>
    <row r="173" spans="1:13" s="539" customFormat="1" x14ac:dyDescent="0.2">
      <c r="A173" s="534"/>
      <c r="B173" s="534"/>
      <c r="C173" s="531"/>
      <c r="D173" s="531"/>
      <c r="E173" s="531"/>
      <c r="F173" s="531"/>
      <c r="G173" s="883"/>
      <c r="H173" s="531"/>
      <c r="I173" s="531"/>
      <c r="J173" s="531"/>
      <c r="K173" s="531"/>
      <c r="L173" s="531"/>
      <c r="M173" s="531"/>
    </row>
    <row r="174" spans="1:13" s="539" customFormat="1" x14ac:dyDescent="0.2">
      <c r="A174" s="534"/>
      <c r="B174" s="534"/>
      <c r="C174" s="534"/>
      <c r="D174" s="534"/>
      <c r="E174" s="531"/>
      <c r="F174" s="531"/>
      <c r="G174" s="883"/>
      <c r="H174" s="531"/>
      <c r="I174" s="531"/>
      <c r="J174" s="531"/>
      <c r="K174" s="531"/>
      <c r="L174" s="531"/>
      <c r="M174" s="531"/>
    </row>
    <row r="175" spans="1:13" s="539" customFormat="1" x14ac:dyDescent="0.2">
      <c r="A175" s="534"/>
      <c r="B175" s="534"/>
      <c r="C175" s="534"/>
      <c r="D175" s="534"/>
      <c r="E175" s="531"/>
      <c r="F175" s="531"/>
      <c r="G175" s="883"/>
      <c r="H175" s="531"/>
      <c r="I175" s="531"/>
      <c r="J175" s="531"/>
      <c r="K175" s="531"/>
      <c r="L175" s="531"/>
      <c r="M175" s="531"/>
    </row>
    <row r="176" spans="1:13" s="539" customFormat="1" x14ac:dyDescent="0.2">
      <c r="A176" s="534"/>
      <c r="B176" s="534"/>
      <c r="C176" s="534"/>
      <c r="D176" s="534"/>
      <c r="E176" s="531"/>
      <c r="F176" s="531"/>
      <c r="G176" s="883"/>
      <c r="H176" s="531"/>
      <c r="I176" s="531"/>
      <c r="J176" s="531"/>
      <c r="K176" s="531"/>
      <c r="L176" s="531"/>
      <c r="M176" s="531"/>
    </row>
    <row r="177" spans="1:13" s="539" customFormat="1" x14ac:dyDescent="0.2">
      <c r="A177" s="534"/>
      <c r="B177" s="534"/>
      <c r="C177" s="534"/>
      <c r="D177" s="534"/>
      <c r="E177" s="531"/>
      <c r="F177" s="531"/>
      <c r="G177" s="883"/>
      <c r="H177" s="531"/>
      <c r="I177" s="531"/>
      <c r="J177" s="531"/>
      <c r="K177" s="531"/>
      <c r="L177" s="531"/>
      <c r="M177" s="531"/>
    </row>
    <row r="178" spans="1:13" s="539" customFormat="1" x14ac:dyDescent="0.2">
      <c r="A178" s="534"/>
      <c r="B178" s="534"/>
      <c r="C178" s="534"/>
      <c r="D178" s="534"/>
      <c r="E178" s="531"/>
      <c r="F178" s="531"/>
      <c r="G178" s="883"/>
      <c r="H178" s="531"/>
      <c r="I178" s="531"/>
      <c r="J178" s="531"/>
      <c r="K178" s="531"/>
      <c r="L178" s="531"/>
      <c r="M178" s="531"/>
    </row>
    <row r="179" spans="1:13" s="539" customFormat="1" x14ac:dyDescent="0.2">
      <c r="A179" s="534"/>
      <c r="B179" s="534"/>
      <c r="C179" s="534"/>
      <c r="D179" s="534"/>
      <c r="E179" s="531"/>
      <c r="F179" s="531"/>
      <c r="G179" s="883"/>
      <c r="H179" s="531"/>
      <c r="I179" s="531"/>
      <c r="J179" s="531"/>
      <c r="K179" s="531"/>
      <c r="L179" s="531"/>
      <c r="M179" s="531"/>
    </row>
    <row r="180" spans="1:13" s="539" customFormat="1" x14ac:dyDescent="0.2">
      <c r="A180" s="534"/>
      <c r="B180" s="534"/>
      <c r="C180" s="534"/>
      <c r="D180" s="534"/>
      <c r="E180" s="531"/>
      <c r="F180" s="531"/>
      <c r="G180" s="883"/>
      <c r="H180" s="531"/>
      <c r="I180" s="531"/>
      <c r="J180" s="531"/>
      <c r="K180" s="531"/>
      <c r="L180" s="531"/>
      <c r="M180" s="531"/>
    </row>
  </sheetData>
  <sheetProtection formatCells="0" formatColumns="0" formatRows="0" insertColumns="0" insertRows="0" insertHyperlinks="0" deleteColumns="0" deleteRows="0" selectLockedCells="1" sort="0" autoFilter="0" pivotTables="0"/>
  <sortState xmlns:xlrd2="http://schemas.microsoft.com/office/spreadsheetml/2017/richdata2" ref="C135:D137">
    <sortCondition ref="C135:C137"/>
  </sortState>
  <dataConsolidate/>
  <mergeCells count="72">
    <mergeCell ref="A16:F16"/>
    <mergeCell ref="A15:F15"/>
    <mergeCell ref="A14:F14"/>
    <mergeCell ref="A18:F18"/>
    <mergeCell ref="A3:F3"/>
    <mergeCell ref="A13:G13"/>
    <mergeCell ref="A9:G9"/>
    <mergeCell ref="A12:G12"/>
    <mergeCell ref="A42:G42"/>
    <mergeCell ref="A44:F44"/>
    <mergeCell ref="F33:G33"/>
    <mergeCell ref="F34:G34"/>
    <mergeCell ref="F35:G35"/>
    <mergeCell ref="F36:G36"/>
    <mergeCell ref="F37:G37"/>
    <mergeCell ref="B39:G39"/>
    <mergeCell ref="B28:G28"/>
    <mergeCell ref="F38:G38"/>
    <mergeCell ref="B19:F19"/>
    <mergeCell ref="A41:F41"/>
    <mergeCell ref="F24:G24"/>
    <mergeCell ref="F23:G23"/>
    <mergeCell ref="F22:G22"/>
    <mergeCell ref="B30:F30"/>
    <mergeCell ref="F32:G32"/>
    <mergeCell ref="J92:K92"/>
    <mergeCell ref="A17:G17"/>
    <mergeCell ref="A80:G80"/>
    <mergeCell ref="A82:E82"/>
    <mergeCell ref="A84:F84"/>
    <mergeCell ref="A83:F83"/>
    <mergeCell ref="A66:G66"/>
    <mergeCell ref="A79:F79"/>
    <mergeCell ref="A78:F78"/>
    <mergeCell ref="A77:F77"/>
    <mergeCell ref="A76:F76"/>
    <mergeCell ref="A75:F75"/>
    <mergeCell ref="A74:F74"/>
    <mergeCell ref="A73:F73"/>
    <mergeCell ref="A72:F72"/>
    <mergeCell ref="A71:F71"/>
    <mergeCell ref="A81:F81"/>
    <mergeCell ref="B56:G56"/>
    <mergeCell ref="A60:C60"/>
    <mergeCell ref="B61:G61"/>
    <mergeCell ref="B53:G53"/>
    <mergeCell ref="B54:G54"/>
    <mergeCell ref="B55:G55"/>
    <mergeCell ref="A62:G62"/>
    <mergeCell ref="A70:F70"/>
    <mergeCell ref="A68:G68"/>
    <mergeCell ref="A69:F69"/>
    <mergeCell ref="A67:F67"/>
    <mergeCell ref="A63:F63"/>
    <mergeCell ref="A64:G64"/>
    <mergeCell ref="A65:F65"/>
    <mergeCell ref="A1:G1"/>
    <mergeCell ref="A2:G2"/>
    <mergeCell ref="A6:G6"/>
    <mergeCell ref="A29:G29"/>
    <mergeCell ref="B52:E52"/>
    <mergeCell ref="A43:F43"/>
    <mergeCell ref="A46:G46"/>
    <mergeCell ref="A48:G48"/>
    <mergeCell ref="A49:F49"/>
    <mergeCell ref="A51:F51"/>
    <mergeCell ref="A45:F45"/>
    <mergeCell ref="A47:F47"/>
    <mergeCell ref="F21:G21"/>
    <mergeCell ref="F27:G27"/>
    <mergeCell ref="F26:G26"/>
    <mergeCell ref="F25:G25"/>
  </mergeCells>
  <conditionalFormatting sqref="A14 A16 G82 K87 J93:J111 G173:G180">
    <cfRule type="containsText" dxfId="0" priority="44" operator="containsText" text="A2">
      <formula>NOT(ISERROR(SEARCH("A2",A14)))</formula>
    </cfRule>
  </conditionalFormatting>
  <hyperlinks>
    <hyperlink ref="H4" location="'Add-Remove Lines Examples'!A1" display="Click here to go to an example of how to add new employee rows" xr:uid="{22BFCFB5-0D7E-4D6E-A47C-C2ACF2D19897}"/>
    <hyperlink ref="H52" location="'Add-Remove Lines Examples'!A83" display="Click here to go to an example of how to add extra contractor rows" xr:uid="{6FD75975-0464-48F5-AE04-2E6330EF31BA}"/>
    <hyperlink ref="H7" location="'Add-Remove Lines Examples'!A1" display="Click here to go to an example of how to add new employee rows" xr:uid="{D570AA88-E818-473A-A445-EC4154961BCB}"/>
    <hyperlink ref="H10" location="'Add-Remove Lines Examples'!A1" display="Click here to go to an example of how to add new employee rows" xr:uid="{624DBDF8-639F-46A1-AF3E-66548EA3E676}"/>
  </hyperlinks>
  <pageMargins left="0.2" right="0.2" top="0.25" bottom="0.25" header="0.3" footer="0.3"/>
  <pageSetup scale="72" fitToHeight="0" orientation="portrait" r:id="rId1"/>
  <colBreaks count="1" manualBreakCount="1">
    <brk id="7" max="10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4"/>
  <sheetViews>
    <sheetView zoomScale="120" zoomScaleNormal="120" workbookViewId="0">
      <selection activeCell="B6" sqref="B6"/>
    </sheetView>
  </sheetViews>
  <sheetFormatPr defaultColWidth="9" defaultRowHeight="12" x14ac:dyDescent="0.2"/>
  <cols>
    <col min="1" max="1" width="24.5703125" style="9" customWidth="1"/>
    <col min="2" max="10" width="11.5703125" style="9" customWidth="1"/>
    <col min="11" max="16384" width="9" style="9"/>
  </cols>
  <sheetData>
    <row r="1" spans="1:10" x14ac:dyDescent="0.2">
      <c r="A1" s="32"/>
      <c r="B1" s="1337" t="e">
        <f>+#REF!</f>
        <v>#REF!</v>
      </c>
      <c r="C1" s="1338"/>
      <c r="D1" s="1338"/>
      <c r="E1" s="1338"/>
      <c r="F1" s="1338"/>
      <c r="G1" s="1338"/>
      <c r="J1" s="26" t="s">
        <v>488</v>
      </c>
    </row>
    <row r="2" spans="1:10" ht="23.45" customHeight="1" x14ac:dyDescent="0.2">
      <c r="A2" s="1339" t="s">
        <v>489</v>
      </c>
      <c r="B2" s="1340"/>
      <c r="C2" s="1340"/>
      <c r="D2" s="1340"/>
      <c r="E2" s="1340"/>
      <c r="F2" s="1340"/>
      <c r="G2" s="1340"/>
      <c r="H2" s="1340"/>
      <c r="I2" s="1340"/>
      <c r="J2" s="1340"/>
    </row>
    <row r="4" spans="1:10" x14ac:dyDescent="0.2">
      <c r="A4" s="10" t="s">
        <v>490</v>
      </c>
      <c r="B4" s="1330" t="s">
        <v>491</v>
      </c>
      <c r="C4" s="1331"/>
      <c r="D4" s="1331"/>
      <c r="E4" s="1331"/>
      <c r="F4" s="1331"/>
      <c r="G4" s="1331"/>
      <c r="H4" s="1331"/>
      <c r="I4" s="1331"/>
      <c r="J4" s="1331"/>
    </row>
    <row r="5" spans="1:10" ht="12.75" thickBot="1" x14ac:dyDescent="0.25">
      <c r="A5" s="11"/>
    </row>
    <row r="6" spans="1:10" ht="24.75" thickBot="1" x14ac:dyDescent="0.25">
      <c r="A6" s="33" t="s">
        <v>492</v>
      </c>
      <c r="B6" s="12" t="s">
        <v>493</v>
      </c>
      <c r="C6" s="13" t="s">
        <v>494</v>
      </c>
      <c r="D6" s="13" t="s">
        <v>494</v>
      </c>
      <c r="E6" s="13" t="s">
        <v>494</v>
      </c>
      <c r="F6" s="13" t="s">
        <v>494</v>
      </c>
      <c r="G6" s="13" t="s">
        <v>494</v>
      </c>
      <c r="H6" s="13" t="s">
        <v>494</v>
      </c>
      <c r="I6" s="14" t="s">
        <v>495</v>
      </c>
      <c r="J6" s="13" t="s">
        <v>468</v>
      </c>
    </row>
    <row r="7" spans="1:10" ht="12.75" thickBot="1" x14ac:dyDescent="0.25">
      <c r="A7" s="34" t="s">
        <v>496</v>
      </c>
      <c r="B7" s="14"/>
      <c r="C7" s="14"/>
      <c r="D7" s="14"/>
      <c r="E7" s="14"/>
      <c r="F7" s="14"/>
      <c r="G7" s="14"/>
      <c r="H7" s="14"/>
      <c r="I7" s="14"/>
      <c r="J7" s="35"/>
    </row>
    <row r="8" spans="1:10" ht="12.75" thickBot="1" x14ac:dyDescent="0.25">
      <c r="A8" s="36" t="s">
        <v>497</v>
      </c>
      <c r="B8" s="927">
        <f>'Budget Narrative'!G84</f>
        <v>0</v>
      </c>
      <c r="C8" s="37"/>
      <c r="D8" s="37"/>
      <c r="E8" s="37"/>
      <c r="F8" s="37"/>
      <c r="G8" s="37"/>
      <c r="H8" s="37"/>
      <c r="I8" s="37"/>
      <c r="J8" s="15">
        <f>SUM(B8:I8)</f>
        <v>0</v>
      </c>
    </row>
    <row r="9" spans="1:10" x14ac:dyDescent="0.2">
      <c r="A9" s="38"/>
      <c r="B9" s="1332"/>
      <c r="C9" s="1332"/>
      <c r="D9" s="1332"/>
      <c r="E9" s="1332"/>
      <c r="F9" s="1332"/>
      <c r="G9" s="1332"/>
      <c r="H9" s="1332"/>
      <c r="I9" s="1332"/>
      <c r="J9" s="1332"/>
    </row>
    <row r="10" spans="1:10" ht="12.75" thickBot="1" x14ac:dyDescent="0.25">
      <c r="A10" s="39" t="s">
        <v>498</v>
      </c>
      <c r="B10" s="1333"/>
      <c r="C10" s="1333"/>
      <c r="D10" s="1333"/>
      <c r="E10" s="1333"/>
      <c r="F10" s="1333"/>
      <c r="G10" s="1333"/>
      <c r="H10" s="1333"/>
      <c r="I10" s="1333"/>
      <c r="J10" s="1333"/>
    </row>
    <row r="11" spans="1:10" ht="12.75" thickBot="1" x14ac:dyDescent="0.25">
      <c r="A11" s="40" t="s">
        <v>499</v>
      </c>
      <c r="B11" s="16">
        <f>Personnel_Total</f>
        <v>0</v>
      </c>
      <c r="C11" s="37"/>
      <c r="D11" s="37"/>
      <c r="E11" s="37"/>
      <c r="F11" s="37"/>
      <c r="G11" s="37"/>
      <c r="H11" s="37"/>
      <c r="I11" s="37"/>
      <c r="J11" s="17">
        <f t="shared" ref="J11:J18" si="0">SUM(B11:I11)</f>
        <v>0</v>
      </c>
    </row>
    <row r="12" spans="1:10" ht="12.75" thickBot="1" x14ac:dyDescent="0.25">
      <c r="A12" s="40" t="s">
        <v>206</v>
      </c>
      <c r="B12" s="16">
        <f>'Budget Narrative'!G18</f>
        <v>0</v>
      </c>
      <c r="C12" s="37"/>
      <c r="D12" s="37"/>
      <c r="E12" s="37"/>
      <c r="F12" s="37"/>
      <c r="G12" s="37"/>
      <c r="H12" s="37"/>
      <c r="I12" s="37"/>
      <c r="J12" s="17">
        <f t="shared" si="0"/>
        <v>0</v>
      </c>
    </row>
    <row r="13" spans="1:10" ht="12.75" thickBot="1" x14ac:dyDescent="0.25">
      <c r="A13" s="40" t="s">
        <v>482</v>
      </c>
      <c r="B13" s="16">
        <f>'Budget Narrative'!G41</f>
        <v>0</v>
      </c>
      <c r="C13" s="37"/>
      <c r="D13" s="37"/>
      <c r="E13" s="37"/>
      <c r="F13" s="37"/>
      <c r="G13" s="37"/>
      <c r="H13" s="37"/>
      <c r="I13" s="37"/>
      <c r="J13" s="17">
        <f t="shared" si="0"/>
        <v>0</v>
      </c>
    </row>
    <row r="14" spans="1:10" ht="12.75" thickBot="1" x14ac:dyDescent="0.25">
      <c r="A14" s="40" t="s">
        <v>486</v>
      </c>
      <c r="B14" s="16">
        <f>'Budget Narrative'!G47</f>
        <v>0</v>
      </c>
      <c r="C14" s="37"/>
      <c r="D14" s="37"/>
      <c r="E14" s="37"/>
      <c r="F14" s="37"/>
      <c r="G14" s="37"/>
      <c r="H14" s="37"/>
      <c r="I14" s="37"/>
      <c r="J14" s="17">
        <f t="shared" si="0"/>
        <v>0</v>
      </c>
    </row>
    <row r="15" spans="1:10" ht="12.75" thickBot="1" x14ac:dyDescent="0.25">
      <c r="A15" s="40" t="s">
        <v>500</v>
      </c>
      <c r="B15" s="16">
        <f>'Budget Narrative'!G47</f>
        <v>0</v>
      </c>
      <c r="C15" s="37"/>
      <c r="D15" s="37"/>
      <c r="E15" s="37"/>
      <c r="F15" s="37"/>
      <c r="G15" s="37"/>
      <c r="H15" s="37"/>
      <c r="I15" s="37"/>
      <c r="J15" s="17">
        <f t="shared" si="0"/>
        <v>0</v>
      </c>
    </row>
    <row r="16" spans="1:10" ht="12.75" thickBot="1" x14ac:dyDescent="0.25">
      <c r="A16" s="40" t="s">
        <v>487</v>
      </c>
      <c r="B16" s="16">
        <f>'Budget Narrative'!G63</f>
        <v>0</v>
      </c>
      <c r="C16" s="37"/>
      <c r="D16" s="37"/>
      <c r="E16" s="37"/>
      <c r="F16" s="37"/>
      <c r="G16" s="37"/>
      <c r="H16" s="37"/>
      <c r="I16" s="37"/>
      <c r="J16" s="17">
        <f>SUM(B16:I16)</f>
        <v>0</v>
      </c>
    </row>
    <row r="17" spans="1:10" ht="12.75" thickBot="1" x14ac:dyDescent="0.25">
      <c r="A17" s="40" t="s">
        <v>501</v>
      </c>
      <c r="B17" s="16">
        <f>Other_Total</f>
        <v>0</v>
      </c>
      <c r="C17" s="37"/>
      <c r="D17" s="37"/>
      <c r="E17" s="37"/>
      <c r="F17" s="37"/>
      <c r="G17" s="37"/>
      <c r="H17" s="37"/>
      <c r="I17" s="37"/>
      <c r="J17" s="17">
        <f t="shared" si="0"/>
        <v>0</v>
      </c>
    </row>
    <row r="18" spans="1:10" ht="12.75" thickBot="1" x14ac:dyDescent="0.25">
      <c r="A18" s="34" t="s">
        <v>502</v>
      </c>
      <c r="B18" s="18">
        <f>'Budget Narrative'!G83</f>
        <v>0</v>
      </c>
      <c r="C18" s="37"/>
      <c r="D18" s="37"/>
      <c r="E18" s="37"/>
      <c r="F18" s="37"/>
      <c r="G18" s="37"/>
      <c r="H18" s="37"/>
      <c r="I18" s="37"/>
      <c r="J18" s="17">
        <f t="shared" si="0"/>
        <v>0</v>
      </c>
    </row>
    <row r="19" spans="1:10" ht="13.5" customHeight="1" thickBot="1" x14ac:dyDescent="0.25">
      <c r="A19" s="19"/>
      <c r="B19" s="20"/>
      <c r="C19" s="20"/>
      <c r="D19" s="20"/>
      <c r="E19" s="20"/>
      <c r="F19" s="20"/>
      <c r="G19" s="20"/>
      <c r="H19" s="20"/>
      <c r="I19" s="20"/>
      <c r="J19" s="20"/>
    </row>
    <row r="20" spans="1:10" ht="12.75" thickBot="1" x14ac:dyDescent="0.25">
      <c r="A20" s="41" t="s">
        <v>503</v>
      </c>
      <c r="B20" s="21">
        <f>SUM(B11:B18)</f>
        <v>0</v>
      </c>
      <c r="C20" s="21">
        <f t="shared" ref="C20:J20" si="1">SUM(C11:C18)</f>
        <v>0</v>
      </c>
      <c r="D20" s="21">
        <f t="shared" si="1"/>
        <v>0</v>
      </c>
      <c r="E20" s="21">
        <f t="shared" si="1"/>
        <v>0</v>
      </c>
      <c r="F20" s="21">
        <f t="shared" si="1"/>
        <v>0</v>
      </c>
      <c r="G20" s="21">
        <f t="shared" si="1"/>
        <v>0</v>
      </c>
      <c r="H20" s="21">
        <f t="shared" si="1"/>
        <v>0</v>
      </c>
      <c r="I20" s="21">
        <f t="shared" si="1"/>
        <v>0</v>
      </c>
      <c r="J20" s="22">
        <f t="shared" si="1"/>
        <v>0</v>
      </c>
    </row>
    <row r="21" spans="1:10" ht="12.75" thickBot="1" x14ac:dyDescent="0.25">
      <c r="A21" s="23"/>
    </row>
    <row r="22" spans="1:10" ht="12.75" thickBot="1" x14ac:dyDescent="0.25">
      <c r="A22" s="36" t="s">
        <v>504</v>
      </c>
      <c r="B22" s="21">
        <f t="shared" ref="B22:J22" si="2">B8-B20</f>
        <v>0</v>
      </c>
      <c r="C22" s="21">
        <f t="shared" si="2"/>
        <v>0</v>
      </c>
      <c r="D22" s="21">
        <f t="shared" si="2"/>
        <v>0</v>
      </c>
      <c r="E22" s="21">
        <f t="shared" si="2"/>
        <v>0</v>
      </c>
      <c r="F22" s="21">
        <f t="shared" si="2"/>
        <v>0</v>
      </c>
      <c r="G22" s="21">
        <f t="shared" si="2"/>
        <v>0</v>
      </c>
      <c r="H22" s="21">
        <f t="shared" si="2"/>
        <v>0</v>
      </c>
      <c r="I22" s="21">
        <f t="shared" si="2"/>
        <v>0</v>
      </c>
      <c r="J22" s="21">
        <f t="shared" si="2"/>
        <v>0</v>
      </c>
    </row>
    <row r="23" spans="1:10" ht="12.75" thickBot="1" x14ac:dyDescent="0.25">
      <c r="A23" s="23"/>
    </row>
    <row r="24" spans="1:10" ht="12.75" thickBot="1" x14ac:dyDescent="0.25">
      <c r="A24" s="25" t="s">
        <v>505</v>
      </c>
      <c r="B24" s="929">
        <f>'Budget Narrative'!G83</f>
        <v>0</v>
      </c>
      <c r="C24" s="42"/>
      <c r="D24" s="42"/>
      <c r="E24" s="42"/>
      <c r="F24" s="42"/>
      <c r="G24" s="1334" t="s">
        <v>506</v>
      </c>
      <c r="H24" s="1335"/>
      <c r="I24" s="1336"/>
      <c r="J24" s="21">
        <f>J20</f>
        <v>0</v>
      </c>
    </row>
    <row r="25" spans="1:10" ht="12.75" thickBot="1" x14ac:dyDescent="0.25">
      <c r="A25" s="23"/>
      <c r="C25" s="42"/>
      <c r="D25" s="42"/>
      <c r="E25" s="42"/>
      <c r="G25" s="1334" t="s">
        <v>507</v>
      </c>
      <c r="H25" s="1335"/>
      <c r="I25" s="1336"/>
      <c r="J25" s="43" t="e">
        <f>B20/J24</f>
        <v>#DIV/0!</v>
      </c>
    </row>
    <row r="26" spans="1:10" x14ac:dyDescent="0.2">
      <c r="A26" s="23"/>
      <c r="J26" s="24"/>
    </row>
    <row r="27" spans="1:10" ht="12.75" x14ac:dyDescent="0.2">
      <c r="A27" s="26" t="s">
        <v>508</v>
      </c>
      <c r="B27" s="26"/>
      <c r="C27" s="1328"/>
      <c r="D27" s="1329"/>
      <c r="E27" s="1329"/>
      <c r="F27" s="1329"/>
      <c r="G27" s="1329"/>
      <c r="H27" s="1329"/>
      <c r="I27" s="1329"/>
      <c r="J27" s="1329"/>
    </row>
    <row r="28" spans="1:10" x14ac:dyDescent="0.2">
      <c r="A28" s="1327"/>
      <c r="B28" s="1327"/>
      <c r="C28" s="1327"/>
      <c r="D28" s="1327"/>
      <c r="E28" s="1327"/>
      <c r="F28" s="1327"/>
      <c r="G28" s="1327"/>
      <c r="H28" s="1327"/>
      <c r="I28" s="1327"/>
      <c r="J28" s="1327"/>
    </row>
    <row r="29" spans="1:10" x14ac:dyDescent="0.2">
      <c r="A29" s="1327"/>
      <c r="B29" s="1327"/>
      <c r="C29" s="1327"/>
      <c r="D29" s="1327"/>
      <c r="E29" s="1327"/>
      <c r="F29" s="1327"/>
      <c r="G29" s="1327"/>
      <c r="H29" s="1327"/>
      <c r="I29" s="1327"/>
      <c r="J29" s="1327"/>
    </row>
    <row r="30" spans="1:10" x14ac:dyDescent="0.2">
      <c r="A30" s="1327"/>
      <c r="B30" s="1327"/>
      <c r="C30" s="1327"/>
      <c r="D30" s="1327"/>
      <c r="E30" s="1327"/>
      <c r="F30" s="1327"/>
      <c r="G30" s="1327"/>
      <c r="H30" s="1327"/>
      <c r="I30" s="1327"/>
      <c r="J30" s="1327"/>
    </row>
    <row r="31" spans="1:10" ht="12.75" x14ac:dyDescent="0.2">
      <c r="A31" s="26" t="s">
        <v>509</v>
      </c>
      <c r="B31" s="27"/>
      <c r="C31" s="1327"/>
      <c r="D31" s="1329"/>
      <c r="E31" s="1329"/>
      <c r="F31" s="1329"/>
      <c r="G31" s="1329"/>
      <c r="H31" s="1329"/>
      <c r="I31" s="1329"/>
      <c r="J31" s="1329"/>
    </row>
    <row r="32" spans="1:10" x14ac:dyDescent="0.2">
      <c r="A32" s="1327"/>
      <c r="B32" s="1327"/>
      <c r="C32" s="1327"/>
      <c r="D32" s="1327"/>
      <c r="E32" s="1327"/>
      <c r="F32" s="1327"/>
      <c r="G32" s="1327"/>
      <c r="H32" s="1327"/>
      <c r="I32" s="1327"/>
      <c r="J32" s="1327"/>
    </row>
    <row r="33" spans="1:10" x14ac:dyDescent="0.2">
      <c r="A33" s="1327"/>
      <c r="B33" s="1327"/>
      <c r="C33" s="1327"/>
      <c r="D33" s="1327"/>
      <c r="E33" s="1327"/>
      <c r="F33" s="1327"/>
      <c r="G33" s="1327"/>
      <c r="H33" s="1327"/>
      <c r="I33" s="1327"/>
      <c r="J33" s="1327"/>
    </row>
    <row r="34" spans="1:10" x14ac:dyDescent="0.2">
      <c r="A34" s="1327"/>
      <c r="B34" s="1327"/>
      <c r="C34" s="1327"/>
      <c r="D34" s="1327"/>
      <c r="E34" s="1327"/>
      <c r="F34" s="1327"/>
      <c r="G34" s="1327"/>
      <c r="H34" s="1327"/>
      <c r="I34" s="1327"/>
      <c r="J34" s="1327"/>
    </row>
  </sheetData>
  <mergeCells count="22">
    <mergeCell ref="B4:J4"/>
    <mergeCell ref="E9:E10"/>
    <mergeCell ref="G25:I25"/>
    <mergeCell ref="G24:I24"/>
    <mergeCell ref="B1:G1"/>
    <mergeCell ref="A2:J2"/>
    <mergeCell ref="J9:J10"/>
    <mergeCell ref="C9:C10"/>
    <mergeCell ref="D9:D10"/>
    <mergeCell ref="F9:F10"/>
    <mergeCell ref="G9:G10"/>
    <mergeCell ref="H9:H10"/>
    <mergeCell ref="I9:I10"/>
    <mergeCell ref="B9:B10"/>
    <mergeCell ref="A32:J32"/>
    <mergeCell ref="A33:J33"/>
    <mergeCell ref="A34:J34"/>
    <mergeCell ref="C27:J27"/>
    <mergeCell ref="C31:J31"/>
    <mergeCell ref="A30:J30"/>
    <mergeCell ref="A29:J29"/>
    <mergeCell ref="A28:J28"/>
  </mergeCells>
  <phoneticPr fontId="0" type="noConversion"/>
  <pageMargins left="0.25" right="0.25" top="0.25" bottom="0.25" header="0.5" footer="0.5"/>
  <pageSetup scale="75" fitToHeight="0" orientation="landscape" r:id="rId1"/>
  <headerFooter alignWithMargins="0">
    <oddFooter>&amp;R&amp;"Arial,Italic"&amp;8&amp;Z&amp;F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23"/>
  <sheetViews>
    <sheetView showGridLines="0" topLeftCell="A35" workbookViewId="0">
      <selection activeCell="A83" sqref="A83"/>
    </sheetView>
  </sheetViews>
  <sheetFormatPr defaultRowHeight="12.75" x14ac:dyDescent="0.2"/>
  <cols>
    <col min="1" max="1" width="11.5703125" customWidth="1"/>
  </cols>
  <sheetData>
    <row r="1" spans="1:11" ht="18" x14ac:dyDescent="0.25">
      <c r="A1" s="1" t="s">
        <v>510</v>
      </c>
    </row>
    <row r="2" spans="1:11" ht="15" x14ac:dyDescent="0.2">
      <c r="A2" s="4"/>
      <c r="B2" s="5" t="s">
        <v>511</v>
      </c>
      <c r="C2" s="4"/>
    </row>
    <row r="4" spans="1:11" ht="12.75" customHeight="1" x14ac:dyDescent="0.2">
      <c r="A4" s="45" t="s">
        <v>512</v>
      </c>
      <c r="B4" s="1341" t="s">
        <v>513</v>
      </c>
      <c r="C4" s="1341"/>
      <c r="D4" s="1341"/>
      <c r="E4" s="1341"/>
      <c r="F4" s="1341"/>
      <c r="G4" s="1341"/>
      <c r="H4" s="1341"/>
      <c r="I4" s="1341"/>
      <c r="J4" s="1341"/>
      <c r="K4" s="1341"/>
    </row>
    <row r="5" spans="1:11" x14ac:dyDescent="0.2">
      <c r="B5" s="1341"/>
      <c r="C5" s="1341"/>
      <c r="D5" s="1341"/>
      <c r="E5" s="1341"/>
      <c r="F5" s="1341"/>
      <c r="G5" s="1341"/>
      <c r="H5" s="1341"/>
      <c r="I5" s="1341"/>
      <c r="J5" s="1341"/>
      <c r="K5" s="1341"/>
    </row>
    <row r="6" spans="1:11" x14ac:dyDescent="0.2">
      <c r="B6" s="1341"/>
      <c r="C6" s="1341"/>
      <c r="D6" s="1341"/>
      <c r="E6" s="1341"/>
      <c r="F6" s="1341"/>
      <c r="G6" s="1341"/>
      <c r="H6" s="1341"/>
      <c r="I6" s="1341"/>
      <c r="J6" s="1341"/>
      <c r="K6" s="1341"/>
    </row>
    <row r="8" spans="1:11" x14ac:dyDescent="0.2">
      <c r="A8" s="46" t="s">
        <v>514</v>
      </c>
    </row>
    <row r="13" spans="1:11" x14ac:dyDescent="0.2">
      <c r="A13" s="45" t="s">
        <v>515</v>
      </c>
      <c r="B13" s="1341" t="s">
        <v>516</v>
      </c>
      <c r="C13" s="1341"/>
      <c r="D13" s="1341"/>
      <c r="E13" s="1341"/>
      <c r="F13" s="1341"/>
      <c r="G13" s="1341"/>
      <c r="H13" s="1341"/>
      <c r="I13" s="1341"/>
      <c r="J13" s="1341"/>
      <c r="K13" s="1341"/>
    </row>
    <row r="14" spans="1:11" x14ac:dyDescent="0.2">
      <c r="B14" s="1341"/>
      <c r="C14" s="1341"/>
      <c r="D14" s="1341"/>
      <c r="E14" s="1341"/>
      <c r="F14" s="1341"/>
      <c r="G14" s="1341"/>
      <c r="H14" s="1341"/>
      <c r="I14" s="1341"/>
      <c r="J14" s="1341"/>
      <c r="K14" s="1341"/>
    </row>
    <row r="16" spans="1:11" x14ac:dyDescent="0.2">
      <c r="A16" s="46" t="s">
        <v>514</v>
      </c>
    </row>
    <row r="23" spans="1:11" ht="12.75" customHeight="1" x14ac:dyDescent="0.2">
      <c r="A23" s="45" t="s">
        <v>517</v>
      </c>
      <c r="B23" s="1341" t="s">
        <v>518</v>
      </c>
      <c r="C23" s="1341"/>
      <c r="D23" s="1341"/>
      <c r="E23" s="1341"/>
      <c r="F23" s="1341"/>
      <c r="G23" s="1341"/>
      <c r="H23" s="1341"/>
      <c r="I23" s="1341"/>
      <c r="J23" s="1341"/>
      <c r="K23" s="1341"/>
    </row>
    <row r="24" spans="1:11" x14ac:dyDescent="0.2">
      <c r="B24" s="1341"/>
      <c r="C24" s="1341"/>
      <c r="D24" s="1341"/>
      <c r="E24" s="1341"/>
      <c r="F24" s="1341"/>
      <c r="G24" s="1341"/>
      <c r="H24" s="1341"/>
      <c r="I24" s="1341"/>
      <c r="J24" s="1341"/>
      <c r="K24" s="1341"/>
    </row>
    <row r="25" spans="1:11" x14ac:dyDescent="0.2">
      <c r="B25" s="1341"/>
      <c r="C25" s="1341"/>
      <c r="D25" s="1341"/>
      <c r="E25" s="1341"/>
      <c r="F25" s="1341"/>
      <c r="G25" s="1341"/>
      <c r="H25" s="1341"/>
      <c r="I25" s="1341"/>
      <c r="J25" s="1341"/>
      <c r="K25" s="1341"/>
    </row>
    <row r="26" spans="1:11" x14ac:dyDescent="0.2">
      <c r="B26" s="1341"/>
      <c r="C26" s="1341"/>
      <c r="D26" s="1341"/>
      <c r="E26" s="1341"/>
      <c r="F26" s="1341"/>
      <c r="G26" s="1341"/>
      <c r="H26" s="1341"/>
      <c r="I26" s="1341"/>
      <c r="J26" s="1341"/>
      <c r="K26" s="1341"/>
    </row>
    <row r="28" spans="1:11" x14ac:dyDescent="0.2">
      <c r="A28" s="46" t="s">
        <v>514</v>
      </c>
    </row>
    <row r="38" spans="1:11" ht="12.75" customHeight="1" x14ac:dyDescent="0.2">
      <c r="A38" s="45" t="s">
        <v>519</v>
      </c>
      <c r="B38" s="1341" t="s">
        <v>520</v>
      </c>
      <c r="C38" s="1341"/>
      <c r="D38" s="1341"/>
      <c r="E38" s="1341"/>
      <c r="F38" s="1341"/>
      <c r="G38" s="1341"/>
      <c r="H38" s="1341"/>
      <c r="I38" s="1341"/>
      <c r="J38" s="1341"/>
      <c r="K38" s="1341"/>
    </row>
    <row r="39" spans="1:11" x14ac:dyDescent="0.2">
      <c r="B39" s="1341"/>
      <c r="C39" s="1341"/>
      <c r="D39" s="1341"/>
      <c r="E39" s="1341"/>
      <c r="F39" s="1341"/>
      <c r="G39" s="1341"/>
      <c r="H39" s="1341"/>
      <c r="I39" s="1341"/>
      <c r="J39" s="1341"/>
      <c r="K39" s="1341"/>
    </row>
    <row r="40" spans="1:11" x14ac:dyDescent="0.2">
      <c r="B40" s="1341"/>
      <c r="C40" s="1341"/>
      <c r="D40" s="1341"/>
      <c r="E40" s="1341"/>
      <c r="F40" s="1341"/>
      <c r="G40" s="1341"/>
      <c r="H40" s="1341"/>
      <c r="I40" s="1341"/>
      <c r="J40" s="1341"/>
      <c r="K40" s="1341"/>
    </row>
    <row r="42" spans="1:11" x14ac:dyDescent="0.2">
      <c r="A42" s="46" t="s">
        <v>514</v>
      </c>
    </row>
    <row r="53" spans="1:11" ht="15" x14ac:dyDescent="0.2">
      <c r="A53" s="4"/>
      <c r="B53" s="5" t="s">
        <v>521</v>
      </c>
      <c r="C53" s="4"/>
      <c r="D53" s="4"/>
    </row>
    <row r="55" spans="1:11" x14ac:dyDescent="0.2">
      <c r="A55" s="45" t="s">
        <v>512</v>
      </c>
      <c r="B55" s="1341" t="s">
        <v>522</v>
      </c>
      <c r="C55" s="1341"/>
      <c r="D55" s="1341"/>
      <c r="E55" s="1341"/>
      <c r="F55" s="1341"/>
      <c r="G55" s="1341"/>
      <c r="H55" s="1341"/>
      <c r="I55" s="1341"/>
      <c r="J55" s="1341"/>
      <c r="K55" s="1341"/>
    </row>
    <row r="56" spans="1:11" x14ac:dyDescent="0.2">
      <c r="B56" s="1341"/>
      <c r="C56" s="1341"/>
      <c r="D56" s="1341"/>
      <c r="E56" s="1341"/>
      <c r="F56" s="1341"/>
      <c r="G56" s="1341"/>
      <c r="H56" s="1341"/>
      <c r="I56" s="1341"/>
      <c r="J56" s="1341"/>
      <c r="K56" s="1341"/>
    </row>
    <row r="57" spans="1:11" x14ac:dyDescent="0.2">
      <c r="B57" s="1341"/>
      <c r="C57" s="1341"/>
      <c r="D57" s="1341"/>
      <c r="E57" s="1341"/>
      <c r="F57" s="1341"/>
      <c r="G57" s="1341"/>
      <c r="H57" s="1341"/>
      <c r="I57" s="1341"/>
      <c r="J57" s="1341"/>
      <c r="K57" s="1341"/>
    </row>
    <row r="60" spans="1:11" x14ac:dyDescent="0.2">
      <c r="A60" s="46" t="s">
        <v>514</v>
      </c>
    </row>
    <row r="66" spans="1:2" ht="15" x14ac:dyDescent="0.2">
      <c r="A66" s="45" t="s">
        <v>515</v>
      </c>
      <c r="B66" s="2" t="s">
        <v>523</v>
      </c>
    </row>
    <row r="68" spans="1:2" x14ac:dyDescent="0.2">
      <c r="A68" s="46" t="s">
        <v>514</v>
      </c>
    </row>
    <row r="82" spans="1:11" ht="18" x14ac:dyDescent="0.25">
      <c r="A82" s="1" t="s">
        <v>524</v>
      </c>
    </row>
    <row r="83" spans="1:11" ht="15" x14ac:dyDescent="0.2">
      <c r="A83" s="4"/>
      <c r="B83" s="5" t="s">
        <v>525</v>
      </c>
      <c r="C83" s="4"/>
    </row>
    <row r="85" spans="1:11" ht="12.75" customHeight="1" x14ac:dyDescent="0.2">
      <c r="A85" s="3" t="s">
        <v>512</v>
      </c>
      <c r="B85" s="1342" t="s">
        <v>526</v>
      </c>
      <c r="C85" s="1342"/>
      <c r="D85" s="1342"/>
      <c r="E85" s="1342"/>
      <c r="F85" s="1342"/>
      <c r="G85" s="1342"/>
      <c r="H85" s="1342"/>
      <c r="I85" s="1342"/>
      <c r="J85" s="1342"/>
      <c r="K85" s="1342"/>
    </row>
    <row r="86" spans="1:11" x14ac:dyDescent="0.2">
      <c r="B86" s="1342"/>
      <c r="C86" s="1342"/>
      <c r="D86" s="1342"/>
      <c r="E86" s="1342"/>
      <c r="F86" s="1342"/>
      <c r="G86" s="1342"/>
      <c r="H86" s="1342"/>
      <c r="I86" s="1342"/>
      <c r="J86" s="1342"/>
      <c r="K86" s="1342"/>
    </row>
    <row r="87" spans="1:11" x14ac:dyDescent="0.2">
      <c r="B87" s="1342"/>
      <c r="C87" s="1342"/>
      <c r="D87" s="1342"/>
      <c r="E87" s="1342"/>
      <c r="F87" s="1342"/>
      <c r="G87" s="1342"/>
      <c r="H87" s="1342"/>
      <c r="I87" s="1342"/>
      <c r="J87" s="1342"/>
      <c r="K87" s="1342"/>
    </row>
    <row r="89" spans="1:11" x14ac:dyDescent="0.2">
      <c r="A89" t="s">
        <v>514</v>
      </c>
    </row>
    <row r="109" spans="1:11" x14ac:dyDescent="0.2">
      <c r="A109" s="3" t="s">
        <v>515</v>
      </c>
      <c r="B109" s="1341" t="s">
        <v>527</v>
      </c>
      <c r="C109" s="1341"/>
      <c r="D109" s="1341"/>
      <c r="E109" s="1341"/>
      <c r="F109" s="1341"/>
      <c r="G109" s="1341"/>
      <c r="H109" s="1341"/>
      <c r="I109" s="1341"/>
      <c r="J109" s="1341"/>
      <c r="K109" s="1341"/>
    </row>
    <row r="110" spans="1:11" x14ac:dyDescent="0.2">
      <c r="B110" s="1341"/>
      <c r="C110" s="1341"/>
      <c r="D110" s="1341"/>
      <c r="E110" s="1341"/>
      <c r="F110" s="1341"/>
      <c r="G110" s="1341"/>
      <c r="H110" s="1341"/>
      <c r="I110" s="1341"/>
      <c r="J110" s="1341"/>
      <c r="K110" s="1341"/>
    </row>
    <row r="111" spans="1:11" x14ac:dyDescent="0.2">
      <c r="B111" s="1341"/>
      <c r="C111" s="1341"/>
      <c r="D111" s="1341"/>
      <c r="E111" s="1341"/>
      <c r="F111" s="1341"/>
      <c r="G111" s="1341"/>
      <c r="H111" s="1341"/>
      <c r="I111" s="1341"/>
      <c r="J111" s="1341"/>
      <c r="K111" s="1341"/>
    </row>
    <row r="113" spans="1:1" x14ac:dyDescent="0.2">
      <c r="A113" t="s">
        <v>514</v>
      </c>
    </row>
    <row r="132" spans="1:11" x14ac:dyDescent="0.2">
      <c r="A132" s="3" t="s">
        <v>517</v>
      </c>
      <c r="B132" s="1341" t="s">
        <v>528</v>
      </c>
      <c r="C132" s="1342"/>
      <c r="D132" s="1342"/>
      <c r="E132" s="1342"/>
      <c r="F132" s="1342"/>
      <c r="G132" s="1342"/>
      <c r="H132" s="1342"/>
      <c r="I132" s="1342"/>
      <c r="J132" s="1342"/>
      <c r="K132" s="1342"/>
    </row>
    <row r="133" spans="1:11" x14ac:dyDescent="0.2">
      <c r="B133" s="1342"/>
      <c r="C133" s="1342"/>
      <c r="D133" s="1342"/>
      <c r="E133" s="1342"/>
      <c r="F133" s="1342"/>
      <c r="G133" s="1342"/>
      <c r="H133" s="1342"/>
      <c r="I133" s="1342"/>
      <c r="J133" s="1342"/>
      <c r="K133" s="1342"/>
    </row>
    <row r="135" spans="1:11" x14ac:dyDescent="0.2">
      <c r="A135" t="s">
        <v>514</v>
      </c>
    </row>
    <row r="157" spans="1:11" ht="15" x14ac:dyDescent="0.2">
      <c r="A157" s="4"/>
      <c r="B157" s="5" t="s">
        <v>529</v>
      </c>
      <c r="C157" s="4"/>
      <c r="D157" s="4"/>
    </row>
    <row r="159" spans="1:11" x14ac:dyDescent="0.2">
      <c r="A159" s="45" t="s">
        <v>512</v>
      </c>
      <c r="B159" s="1341" t="s">
        <v>530</v>
      </c>
      <c r="C159" s="1341"/>
      <c r="D159" s="1341"/>
      <c r="E159" s="1341"/>
      <c r="F159" s="1341"/>
      <c r="G159" s="1341"/>
      <c r="H159" s="1341"/>
      <c r="I159" s="1341"/>
      <c r="J159" s="1341"/>
      <c r="K159" s="1341"/>
    </row>
    <row r="160" spans="1:11" x14ac:dyDescent="0.2">
      <c r="B160" s="1341"/>
      <c r="C160" s="1341"/>
      <c r="D160" s="1341"/>
      <c r="E160" s="1341"/>
      <c r="F160" s="1341"/>
      <c r="G160" s="1341"/>
      <c r="H160" s="1341"/>
      <c r="I160" s="1341"/>
      <c r="J160" s="1341"/>
      <c r="K160" s="1341"/>
    </row>
    <row r="161" spans="1:11" x14ac:dyDescent="0.2">
      <c r="B161" s="1341"/>
      <c r="C161" s="1341"/>
      <c r="D161" s="1341"/>
      <c r="E161" s="1341"/>
      <c r="F161" s="1341"/>
      <c r="G161" s="1341"/>
      <c r="H161" s="1341"/>
      <c r="I161" s="1341"/>
      <c r="J161" s="1341"/>
      <c r="K161" s="1341"/>
    </row>
    <row r="163" spans="1:11" x14ac:dyDescent="0.2">
      <c r="A163" s="46" t="s">
        <v>514</v>
      </c>
    </row>
    <row r="186" spans="1:11" ht="15" x14ac:dyDescent="0.2">
      <c r="A186" s="4"/>
      <c r="B186" s="5" t="s">
        <v>531</v>
      </c>
      <c r="C186" s="4"/>
      <c r="D186" s="4"/>
    </row>
    <row r="188" spans="1:11" x14ac:dyDescent="0.2">
      <c r="A188" s="45" t="s">
        <v>512</v>
      </c>
      <c r="B188" s="1341" t="s">
        <v>532</v>
      </c>
      <c r="C188" s="1341"/>
      <c r="D188" s="1341"/>
      <c r="E188" s="1341"/>
      <c r="F188" s="1341"/>
      <c r="G188" s="1341"/>
      <c r="H188" s="1341"/>
      <c r="I188" s="1341"/>
      <c r="J188" s="1341"/>
      <c r="K188" s="1341"/>
    </row>
    <row r="189" spans="1:11" x14ac:dyDescent="0.2">
      <c r="A189" s="45"/>
      <c r="B189" s="1341"/>
      <c r="C189" s="1341"/>
      <c r="D189" s="1341"/>
      <c r="E189" s="1341"/>
      <c r="F189" s="1341"/>
      <c r="G189" s="1341"/>
      <c r="H189" s="1341"/>
      <c r="I189" s="1341"/>
      <c r="J189" s="1341"/>
      <c r="K189" s="1341"/>
    </row>
    <row r="191" spans="1:11" x14ac:dyDescent="0.2">
      <c r="A191" s="46" t="s">
        <v>514</v>
      </c>
    </row>
    <row r="202" spans="1:11" x14ac:dyDescent="0.2">
      <c r="A202" s="45" t="s">
        <v>515</v>
      </c>
      <c r="B202" s="1343" t="s">
        <v>533</v>
      </c>
      <c r="C202" s="1343"/>
      <c r="D202" s="1343"/>
      <c r="E202" s="1343"/>
      <c r="F202" s="1343"/>
      <c r="G202" s="1343"/>
      <c r="H202" s="1343"/>
      <c r="I202" s="1343"/>
      <c r="J202" s="1343"/>
      <c r="K202" s="1343"/>
    </row>
    <row r="204" spans="1:11" x14ac:dyDescent="0.2">
      <c r="A204" s="46" t="s">
        <v>514</v>
      </c>
    </row>
    <row r="209" spans="1:11" x14ac:dyDescent="0.2">
      <c r="A209" s="45" t="s">
        <v>517</v>
      </c>
      <c r="B209" s="1343" t="s">
        <v>534</v>
      </c>
      <c r="C209" s="1343"/>
      <c r="D209" s="1343"/>
      <c r="E209" s="1343"/>
      <c r="F209" s="1343"/>
      <c r="G209" s="1343"/>
      <c r="H209" s="1343"/>
      <c r="I209" s="1343"/>
      <c r="J209" s="1343"/>
      <c r="K209" s="1343"/>
    </row>
    <row r="211" spans="1:11" x14ac:dyDescent="0.2">
      <c r="A211" s="46" t="s">
        <v>514</v>
      </c>
    </row>
    <row r="220" spans="1:11" x14ac:dyDescent="0.2">
      <c r="A220" s="45" t="s">
        <v>519</v>
      </c>
      <c r="B220" s="1341" t="s">
        <v>535</v>
      </c>
      <c r="C220" s="1341"/>
      <c r="D220" s="1341"/>
      <c r="E220" s="1341"/>
      <c r="F220" s="1341"/>
      <c r="G220" s="1341"/>
      <c r="H220" s="1341"/>
      <c r="I220" s="1341"/>
      <c r="J220" s="1341"/>
      <c r="K220" s="1341"/>
    </row>
    <row r="221" spans="1:11" x14ac:dyDescent="0.2">
      <c r="A221" s="45"/>
      <c r="B221" s="1341"/>
      <c r="C221" s="1341"/>
      <c r="D221" s="1341"/>
      <c r="E221" s="1341"/>
      <c r="F221" s="1341"/>
      <c r="G221" s="1341"/>
      <c r="H221" s="1341"/>
      <c r="I221" s="1341"/>
      <c r="J221" s="1341"/>
      <c r="K221" s="1341"/>
    </row>
    <row r="223" spans="1:11" x14ac:dyDescent="0.2">
      <c r="A223" s="46" t="s">
        <v>514</v>
      </c>
    </row>
  </sheetData>
  <mergeCells count="13">
    <mergeCell ref="B4:K6"/>
    <mergeCell ref="B13:K14"/>
    <mergeCell ref="B23:K26"/>
    <mergeCell ref="B38:K40"/>
    <mergeCell ref="B202:K202"/>
    <mergeCell ref="B220:K221"/>
    <mergeCell ref="B55:K57"/>
    <mergeCell ref="B109:K111"/>
    <mergeCell ref="B85:K87"/>
    <mergeCell ref="B132:K133"/>
    <mergeCell ref="B159:K161"/>
    <mergeCell ref="B188:K189"/>
    <mergeCell ref="B209:K209"/>
  </mergeCells>
  <pageMargins left="0.2" right="0.2" top="0.25" bottom="0.25" header="0.3" footer="0.3"/>
  <pageSetup scale="9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2"/>
  <sheetViews>
    <sheetView workbookViewId="0">
      <selection activeCell="A6" sqref="A6"/>
    </sheetView>
  </sheetViews>
  <sheetFormatPr defaultRowHeight="12.75" x14ac:dyDescent="0.2"/>
  <cols>
    <col min="1" max="1" width="19.140625" bestFit="1" customWidth="1"/>
  </cols>
  <sheetData>
    <row r="1" spans="1:1" x14ac:dyDescent="0.2">
      <c r="A1" s="46" t="s">
        <v>536</v>
      </c>
    </row>
    <row r="2" spans="1:1" x14ac:dyDescent="0.2">
      <c r="A2" t="s">
        <v>537</v>
      </c>
    </row>
    <row r="3" spans="1:1" x14ac:dyDescent="0.2">
      <c r="A3" t="s">
        <v>23</v>
      </c>
    </row>
    <row r="4" spans="1:1" x14ac:dyDescent="0.2">
      <c r="A4" t="s">
        <v>73</v>
      </c>
    </row>
    <row r="5" spans="1:1" x14ac:dyDescent="0.2">
      <c r="A5" t="s">
        <v>16</v>
      </c>
    </row>
    <row r="8" spans="1:1" x14ac:dyDescent="0.2">
      <c r="A8" s="46" t="s">
        <v>538</v>
      </c>
    </row>
    <row r="9" spans="1:1" x14ac:dyDescent="0.2">
      <c r="A9" s="46" t="s">
        <v>539</v>
      </c>
    </row>
    <row r="11" spans="1:1" x14ac:dyDescent="0.2">
      <c r="A11">
        <v>12</v>
      </c>
    </row>
    <row r="12" spans="1:1" x14ac:dyDescent="0.2">
      <c r="A12">
        <v>11</v>
      </c>
    </row>
    <row r="13" spans="1:1" x14ac:dyDescent="0.2">
      <c r="A13">
        <v>10</v>
      </c>
    </row>
    <row r="14" spans="1:1" x14ac:dyDescent="0.2">
      <c r="A14">
        <v>9</v>
      </c>
    </row>
    <row r="15" spans="1:1" x14ac:dyDescent="0.2">
      <c r="A15">
        <v>8</v>
      </c>
    </row>
    <row r="16" spans="1:1" x14ac:dyDescent="0.2">
      <c r="A16">
        <v>7</v>
      </c>
    </row>
    <row r="17" spans="1:1" x14ac:dyDescent="0.2">
      <c r="A17">
        <v>6</v>
      </c>
    </row>
    <row r="18" spans="1:1" x14ac:dyDescent="0.2">
      <c r="A18">
        <v>5</v>
      </c>
    </row>
    <row r="19" spans="1:1" x14ac:dyDescent="0.2">
      <c r="A19">
        <v>4</v>
      </c>
    </row>
    <row r="20" spans="1:1" x14ac:dyDescent="0.2">
      <c r="A20">
        <v>3</v>
      </c>
    </row>
    <row r="21" spans="1:1" x14ac:dyDescent="0.2">
      <c r="A21">
        <v>2</v>
      </c>
    </row>
    <row r="22" spans="1:1" x14ac:dyDescent="0.2">
      <c r="A22">
        <v>1</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L23"/>
  <sheetViews>
    <sheetView workbookViewId="0">
      <selection activeCell="A11" sqref="A11"/>
    </sheetView>
  </sheetViews>
  <sheetFormatPr defaultRowHeight="12.75" x14ac:dyDescent="0.2"/>
  <cols>
    <col min="1" max="1" width="9.42578125" bestFit="1" customWidth="1"/>
  </cols>
  <sheetData>
    <row r="1" spans="1:12" x14ac:dyDescent="0.2">
      <c r="A1" s="8" t="s">
        <v>540</v>
      </c>
    </row>
    <row r="2" spans="1:12" x14ac:dyDescent="0.2">
      <c r="A2" s="46" t="s">
        <v>541</v>
      </c>
      <c r="B2" s="46" t="s">
        <v>542</v>
      </c>
      <c r="C2" s="46" t="s">
        <v>543</v>
      </c>
      <c r="D2" s="46" t="s">
        <v>544</v>
      </c>
      <c r="E2" s="46" t="s">
        <v>545</v>
      </c>
      <c r="F2" s="46" t="s">
        <v>546</v>
      </c>
      <c r="G2" s="46" t="s">
        <v>547</v>
      </c>
      <c r="H2" s="46" t="s">
        <v>548</v>
      </c>
      <c r="I2" s="46" t="s">
        <v>549</v>
      </c>
      <c r="J2" s="46" t="s">
        <v>550</v>
      </c>
      <c r="K2" s="46" t="s">
        <v>551</v>
      </c>
      <c r="L2" s="46" t="s">
        <v>141</v>
      </c>
    </row>
    <row r="3" spans="1:12" x14ac:dyDescent="0.2">
      <c r="A3" s="46" t="s">
        <v>552</v>
      </c>
      <c r="B3">
        <v>24</v>
      </c>
      <c r="C3">
        <v>11</v>
      </c>
      <c r="D3">
        <v>11</v>
      </c>
      <c r="E3">
        <v>11</v>
      </c>
      <c r="F3">
        <v>11</v>
      </c>
      <c r="G3">
        <v>11</v>
      </c>
      <c r="H3">
        <v>11</v>
      </c>
      <c r="I3">
        <v>11</v>
      </c>
      <c r="J3">
        <v>11</v>
      </c>
      <c r="K3">
        <v>11</v>
      </c>
      <c r="L3">
        <f>SUM(B3:K3)</f>
        <v>123</v>
      </c>
    </row>
    <row r="5" spans="1:12" x14ac:dyDescent="0.2">
      <c r="A5" s="46" t="s">
        <v>553</v>
      </c>
      <c r="B5" s="6">
        <f ca="1">CELL("width",'Budget Summary'!A1)</f>
        <v>24</v>
      </c>
      <c r="C5" s="6">
        <f ca="1">CELL("width",'Budget Summary'!B1)</f>
        <v>11</v>
      </c>
      <c r="D5" s="6">
        <f ca="1">CELL("width",'Budget Summary'!C1)</f>
        <v>11</v>
      </c>
      <c r="E5" s="6">
        <f ca="1">CELL("width",'Budget Summary'!D1)</f>
        <v>11</v>
      </c>
      <c r="F5" s="6">
        <f ca="1">CELL("width",'Budget Summary'!E1)</f>
        <v>11</v>
      </c>
      <c r="G5" s="6">
        <f ca="1">CELL("width",'Budget Summary'!F1)</f>
        <v>11</v>
      </c>
      <c r="H5" s="6">
        <f ca="1">CELL("width",'Budget Summary'!G1)</f>
        <v>11</v>
      </c>
      <c r="I5" s="6">
        <f ca="1">CELL("width",'Budget Summary'!H1)</f>
        <v>11</v>
      </c>
      <c r="J5" s="6">
        <f ca="1">CELL("width",'Budget Summary'!I1)</f>
        <v>11</v>
      </c>
      <c r="K5" s="6">
        <f ca="1">CELL("width",'Budget Summary'!J1)</f>
        <v>11</v>
      </c>
      <c r="L5">
        <f ca="1">SUM(B5:K5)</f>
        <v>123</v>
      </c>
    </row>
    <row r="7" spans="1:12" x14ac:dyDescent="0.2">
      <c r="A7" s="46" t="s">
        <v>554</v>
      </c>
      <c r="B7" s="6">
        <f ca="1">B5-B3</f>
        <v>0</v>
      </c>
      <c r="C7" s="6">
        <f t="shared" ref="C7:L7" ca="1" si="0">C5-C3</f>
        <v>0</v>
      </c>
      <c r="D7" s="6">
        <f t="shared" ca="1" si="0"/>
        <v>0</v>
      </c>
      <c r="E7" s="6">
        <f t="shared" ca="1" si="0"/>
        <v>0</v>
      </c>
      <c r="F7" s="6">
        <f t="shared" ca="1" si="0"/>
        <v>0</v>
      </c>
      <c r="G7" s="6">
        <f t="shared" ca="1" si="0"/>
        <v>0</v>
      </c>
      <c r="H7" s="6">
        <f ca="1">H5-H3</f>
        <v>0</v>
      </c>
      <c r="I7" s="6">
        <f ca="1">I5-I3</f>
        <v>0</v>
      </c>
      <c r="J7" s="6">
        <f ca="1">J5-J3</f>
        <v>0</v>
      </c>
      <c r="K7" s="6">
        <f t="shared" ca="1" si="0"/>
        <v>0</v>
      </c>
      <c r="L7" s="6">
        <f t="shared" ca="1" si="0"/>
        <v>0</v>
      </c>
    </row>
    <row r="9" spans="1:12" x14ac:dyDescent="0.2">
      <c r="A9" s="46" t="s">
        <v>555</v>
      </c>
    </row>
    <row r="10" spans="1:12" x14ac:dyDescent="0.2">
      <c r="A10" s="7" t="str">
        <f ca="1">IF($L$5&lt;=123,"OK","Possible issue")</f>
        <v>OK</v>
      </c>
      <c r="B10" s="46" t="s">
        <v>556</v>
      </c>
    </row>
    <row r="14" spans="1:12" x14ac:dyDescent="0.2">
      <c r="A14" s="8" t="s">
        <v>557</v>
      </c>
    </row>
    <row r="15" spans="1:12" x14ac:dyDescent="0.2">
      <c r="A15" s="46" t="s">
        <v>541</v>
      </c>
      <c r="B15" s="46" t="s">
        <v>542</v>
      </c>
      <c r="C15" s="46" t="s">
        <v>543</v>
      </c>
      <c r="D15" s="46" t="s">
        <v>544</v>
      </c>
      <c r="E15" s="46" t="s">
        <v>545</v>
      </c>
      <c r="F15" s="46" t="s">
        <v>546</v>
      </c>
      <c r="G15" s="46" t="s">
        <v>547</v>
      </c>
      <c r="H15" s="46" t="s">
        <v>548</v>
      </c>
      <c r="I15" s="46" t="s">
        <v>141</v>
      </c>
    </row>
    <row r="16" spans="1:12" x14ac:dyDescent="0.2">
      <c r="A16" s="46" t="s">
        <v>552</v>
      </c>
      <c r="B16">
        <v>31</v>
      </c>
      <c r="C16">
        <v>11</v>
      </c>
      <c r="D16">
        <v>8</v>
      </c>
      <c r="E16">
        <v>10</v>
      </c>
      <c r="F16">
        <v>9</v>
      </c>
      <c r="G16">
        <v>12</v>
      </c>
      <c r="H16">
        <v>12</v>
      </c>
      <c r="I16">
        <f>SUM(B16:H16)</f>
        <v>93</v>
      </c>
    </row>
    <row r="18" spans="1:9" x14ac:dyDescent="0.2">
      <c r="A18" s="46" t="s">
        <v>553</v>
      </c>
      <c r="B18" s="6" t="e">
        <f ca="1">CELL("width",#REF!)</f>
        <v>#REF!</v>
      </c>
      <c r="C18" s="6" t="e">
        <f ca="1">CELL("width",#REF!)</f>
        <v>#REF!</v>
      </c>
      <c r="D18" s="6" t="e">
        <f ca="1">CELL("width",#REF!)</f>
        <v>#REF!</v>
      </c>
      <c r="E18" s="6" t="e">
        <f ca="1">CELL("width",#REF!)</f>
        <v>#REF!</v>
      </c>
      <c r="F18" s="6" t="e">
        <f ca="1">CELL("width",#REF!)</f>
        <v>#REF!</v>
      </c>
      <c r="G18" s="6" t="e">
        <f ca="1">CELL("width",#REF!)</f>
        <v>#REF!</v>
      </c>
      <c r="H18" s="6" t="e">
        <f ca="1">CELL("width",#REF!)</f>
        <v>#REF!</v>
      </c>
      <c r="I18" t="e">
        <f ca="1">SUM(B18:H18)</f>
        <v>#REF!</v>
      </c>
    </row>
    <row r="20" spans="1:9" x14ac:dyDescent="0.2">
      <c r="A20" s="46" t="s">
        <v>554</v>
      </c>
      <c r="B20" s="6" t="e">
        <f ca="1">B18-B16</f>
        <v>#REF!</v>
      </c>
      <c r="C20" s="6" t="e">
        <f t="shared" ref="C20:I20" ca="1" si="1">C18-C16</f>
        <v>#REF!</v>
      </c>
      <c r="D20" s="6" t="e">
        <f t="shared" ca="1" si="1"/>
        <v>#REF!</v>
      </c>
      <c r="E20" s="6" t="e">
        <f t="shared" ca="1" si="1"/>
        <v>#REF!</v>
      </c>
      <c r="F20" s="6" t="e">
        <f t="shared" ca="1" si="1"/>
        <v>#REF!</v>
      </c>
      <c r="G20" s="6" t="e">
        <f t="shared" ca="1" si="1"/>
        <v>#REF!</v>
      </c>
      <c r="H20" s="6" t="e">
        <f t="shared" ca="1" si="1"/>
        <v>#REF!</v>
      </c>
      <c r="I20" s="6" t="e">
        <f t="shared" ca="1" si="1"/>
        <v>#REF!</v>
      </c>
    </row>
    <row r="22" spans="1:9" x14ac:dyDescent="0.2">
      <c r="A22" s="46" t="s">
        <v>555</v>
      </c>
    </row>
    <row r="23" spans="1:9" x14ac:dyDescent="0.2">
      <c r="A23" s="7" t="e">
        <f ca="1">IF($I$18&lt;=93,"OK","Possible issue")</f>
        <v>#REF!</v>
      </c>
      <c r="B23" s="46" t="s">
        <v>556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3c6883c-6eac-4929-879c-f17e1eab042d" xsi:nil="true"/>
    <lcf76f155ced4ddcb4097134ff3c332f xmlns="2fe17736-5b01-4684-ac3f-e975a769502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A29FC5D06F9384D8947910FCF2A039B" ma:contentTypeVersion="14" ma:contentTypeDescription="Create a new document." ma:contentTypeScope="" ma:versionID="e04b07813070d94ffbc23fb9c32bf84d">
  <xsd:schema xmlns:xsd="http://www.w3.org/2001/XMLSchema" xmlns:xs="http://www.w3.org/2001/XMLSchema" xmlns:p="http://schemas.microsoft.com/office/2006/metadata/properties" xmlns:ns2="2fe17736-5b01-4684-ac3f-e975a7695021" xmlns:ns3="23c6883c-6eac-4929-879c-f17e1eab042d" targetNamespace="http://schemas.microsoft.com/office/2006/metadata/properties" ma:root="true" ma:fieldsID="e71b6ec87b49b700b9b721e71f8e5587" ns2:_="" ns3:_="">
    <xsd:import namespace="2fe17736-5b01-4684-ac3f-e975a7695021"/>
    <xsd:import namespace="23c6883c-6eac-4929-879c-f17e1eab042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17736-5b01-4684-ac3f-e975a76950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803b390-b6d7-4ca1-9ee7-1020d464a5d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3c6883c-6eac-4929-879c-f17e1eab042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d800c44-b8c1-4dee-820d-e1a41d7232af}" ma:internalName="TaxCatchAll" ma:showField="CatchAllData" ma:web="23c6883c-6eac-4929-879c-f17e1eab042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9C9F20-DCDA-40B4-AD17-54D90605886D}">
  <ds:schemaRefs>
    <ds:schemaRef ds:uri="23c6883c-6eac-4929-879c-f17e1eab042d"/>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2fe17736-5b01-4684-ac3f-e975a769502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77DC397-4345-4E04-8C51-85E0F0603518}">
  <ds:schemaRefs>
    <ds:schemaRef ds:uri="http://schemas.microsoft.com/sharepoint/v3/contenttype/forms"/>
  </ds:schemaRefs>
</ds:datastoreItem>
</file>

<file path=customXml/itemProps3.xml><?xml version="1.0" encoding="utf-8"?>
<ds:datastoreItem xmlns:ds="http://schemas.openxmlformats.org/officeDocument/2006/customXml" ds:itemID="{3381999F-395C-4C7D-ADFC-66606C2B1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e17736-5b01-4684-ac3f-e975a7695021"/>
    <ds:schemaRef ds:uri="23c6883c-6eac-4929-879c-f17e1eab0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Budget Narrative - Summary</vt:lpstr>
      <vt:lpstr>Summary W_Contract Changes (2)</vt:lpstr>
      <vt:lpstr>Budget Narrative</vt:lpstr>
      <vt:lpstr>Budget Summary</vt:lpstr>
      <vt:lpstr>Add-Remove Lines Examples</vt:lpstr>
      <vt:lpstr>DATA LIST</vt:lpstr>
      <vt:lpstr>Internal Use Only</vt:lpstr>
      <vt:lpstr>Contractual_Total</vt:lpstr>
      <vt:lpstr>Equipment_Total</vt:lpstr>
      <vt:lpstr>Operating_Total</vt:lpstr>
      <vt:lpstr>Other_Total</vt:lpstr>
      <vt:lpstr>Personnel</vt:lpstr>
      <vt:lpstr>Personnel_Total</vt:lpstr>
      <vt:lpstr>'Budget Narrative'!Print_Area</vt:lpstr>
      <vt:lpstr>'Budget Narrative - Summary'!Print_Area</vt:lpstr>
      <vt:lpstr>'Summary W_Contract Changes (2)'!Print_Area</vt:lpstr>
      <vt:lpstr>Total_Budget</vt:lpstr>
      <vt:lpstr>Total_Direct_Charges</vt:lpstr>
      <vt:lpstr>Training_Total</vt:lpstr>
      <vt:lpstr>Travel_Total</vt:lpstr>
    </vt:vector>
  </TitlesOfParts>
  <Manager/>
  <Company>DHR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Hritz</dc:creator>
  <cp:keywords/>
  <dc:description/>
  <cp:lastModifiedBy>Monica Galaviz</cp:lastModifiedBy>
  <cp:revision/>
  <dcterms:created xsi:type="dcterms:W3CDTF">2003-10-07T23:50:25Z</dcterms:created>
  <dcterms:modified xsi:type="dcterms:W3CDTF">2024-10-01T15:46:30Z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0x0101000A29FC5D06F9384D8947910FCF2A039B</vt:lpwstr>
  </property>
  <property fmtid="{D5CDD505-2E9C-101B-9397-08002B2CF9AE}" pid="4" name="MediaServiceImageTags">
    <vt:lpwstr/>
  </property>
</Properties>
</file>